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9"/>
  <workbookPr codeName="ThisWorkbook" defaultThemeVersion="166925"/>
  <mc:AlternateContent xmlns:mc="http://schemas.openxmlformats.org/markup-compatibility/2006">
    <mc:Choice Requires="x15">
      <x15ac:absPath xmlns:x15ac="http://schemas.microsoft.com/office/spreadsheetml/2010/11/ac" url="/Users/lsh1807578/CISS Dropbox/kasim allel henriquez/B_Projects/Meta-analysis BSI burden/2_R&amp;R/"/>
    </mc:Choice>
  </mc:AlternateContent>
  <xr:revisionPtr revIDLastSave="0" documentId="13_ncr:1_{45FED781-B7B6-F947-B96F-5D1ECAAA1C52}" xr6:coauthVersionLast="47" xr6:coauthVersionMax="47" xr10:uidLastSave="{00000000-0000-0000-0000-000000000000}"/>
  <bookViews>
    <workbookView xWindow="2100" yWindow="2040" windowWidth="24220" windowHeight="17380" xr2:uid="{B4EE2ED4-BC73-B946-BF36-AB08D8B10F29}"/>
  </bookViews>
  <sheets>
    <sheet name="MasterData" sheetId="1" r:id="rId1"/>
    <sheet name="MasterScale" sheetId="8" r:id="rId2"/>
    <sheet name="Summary MasterScale" sheetId="9" r:id="rId3"/>
  </sheets>
  <definedNames>
    <definedName name="_xlnm._FilterDatabase" localSheetId="0" hidden="1">MasterData!$A$2:$CS$135</definedName>
    <definedName name="_Ref442627122" localSheetId="1">MasterScale!$A$23</definedName>
    <definedName name="_xlchart.v1.0" hidden="1">MasterScale!$B$119:$DF$119</definedName>
    <definedName name="_xlchart.v1.1" hidden="1">MasterScale!$DH$119:$FK$119</definedName>
    <definedName name="_xlchart.v1.2" hidden="1">MasterScale!$FM$119:$HA$119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120" i="8" l="1"/>
  <c r="DG5" i="8"/>
  <c r="HB106" i="8" l="1"/>
  <c r="HB109" i="8"/>
  <c r="HB112" i="8"/>
  <c r="HB115" i="8"/>
  <c r="HB103" i="8"/>
  <c r="HB100" i="8"/>
  <c r="HB97" i="8"/>
  <c r="HB94" i="8"/>
  <c r="HB90" i="8"/>
  <c r="HB78" i="8"/>
  <c r="HB81" i="8"/>
  <c r="HB84" i="8"/>
  <c r="HB87" i="8"/>
  <c r="HB75" i="8"/>
  <c r="HB59" i="8"/>
  <c r="HB62" i="8"/>
  <c r="HB65" i="8"/>
  <c r="HB68" i="8"/>
  <c r="HB71" i="8"/>
  <c r="HB56" i="8"/>
  <c r="HB37" i="8"/>
  <c r="HB40" i="8"/>
  <c r="HB43" i="8"/>
  <c r="HB46" i="8"/>
  <c r="HB49" i="8"/>
  <c r="HB52" i="8"/>
  <c r="HB34" i="8"/>
  <c r="HB21" i="8"/>
  <c r="HB24" i="8"/>
  <c r="HB27" i="8"/>
  <c r="HB30" i="8"/>
  <c r="HB18" i="8"/>
  <c r="HB8" i="8"/>
  <c r="HB11" i="8"/>
  <c r="HB14" i="8"/>
  <c r="HB5" i="8"/>
  <c r="HB4" i="8" s="1"/>
  <c r="HJ5" i="8" s="1"/>
  <c r="HA119" i="8"/>
  <c r="FH119" i="8"/>
  <c r="DC119" i="8"/>
  <c r="CW119" i="8"/>
  <c r="GS119" i="8"/>
  <c r="FB119" i="8"/>
  <c r="CN119" i="8"/>
  <c r="CI119" i="8"/>
  <c r="BY119" i="8"/>
  <c r="BU119" i="8"/>
  <c r="BS119" i="8"/>
  <c r="BC119" i="8"/>
  <c r="EM119" i="8"/>
  <c r="GE119" i="8"/>
  <c r="EI119" i="8"/>
  <c r="AU119" i="8"/>
  <c r="AH119" i="8"/>
  <c r="FV119" i="8"/>
  <c r="Z119" i="8"/>
  <c r="S119" i="8"/>
  <c r="FR119" i="8"/>
  <c r="P119" i="8"/>
  <c r="DS119" i="8"/>
  <c r="DK119" i="8"/>
  <c r="FL103" i="8"/>
  <c r="FN119" i="8"/>
  <c r="H119" i="8"/>
  <c r="V108" i="1"/>
  <c r="V109" i="1"/>
  <c r="V107" i="1"/>
  <c r="BN131" i="1"/>
  <c r="AH131" i="1"/>
  <c r="V131" i="1"/>
  <c r="CC124" i="1"/>
  <c r="BC124" i="1"/>
  <c r="BD124" i="1"/>
  <c r="BM115" i="1"/>
  <c r="AH115" i="1"/>
  <c r="V115" i="1"/>
  <c r="BC109" i="1"/>
  <c r="BD108" i="1"/>
  <c r="BC108" i="1"/>
  <c r="BC107" i="1"/>
  <c r="BD97" i="1"/>
  <c r="BC97" i="1"/>
  <c r="BC91" i="1"/>
  <c r="BN81" i="1"/>
  <c r="AH81" i="1"/>
  <c r="BN82" i="1"/>
  <c r="AH82" i="1"/>
  <c r="BD81" i="1"/>
  <c r="BC81" i="1"/>
  <c r="W81" i="1"/>
  <c r="W82" i="1"/>
  <c r="BD82" i="1"/>
  <c r="BC82" i="1"/>
  <c r="BD83" i="1"/>
  <c r="BC83" i="1"/>
  <c r="W83" i="1"/>
  <c r="V81" i="1"/>
  <c r="V82" i="1"/>
  <c r="V83" i="1"/>
  <c r="AH64" i="1"/>
  <c r="BN64" i="1"/>
  <c r="AX64" i="1"/>
  <c r="AY52" i="1"/>
  <c r="AX52" i="1"/>
  <c r="V52" i="1"/>
  <c r="BN27" i="1"/>
  <c r="AH27" i="1"/>
  <c r="V27" i="1"/>
  <c r="BN19" i="1"/>
  <c r="AH19" i="1"/>
  <c r="V19" i="1"/>
  <c r="V17" i="1"/>
  <c r="B124" i="1"/>
  <c r="B64" i="1"/>
  <c r="V6" i="1"/>
  <c r="E121" i="1"/>
  <c r="E122" i="1"/>
  <c r="E123" i="1"/>
  <c r="E124" i="1"/>
  <c r="E125" i="1"/>
  <c r="E126" i="1"/>
  <c r="E91" i="1"/>
  <c r="E64" i="1"/>
  <c r="E37" i="1"/>
  <c r="E36" i="1"/>
  <c r="E27" i="1"/>
  <c r="E28" i="1"/>
  <c r="E18" i="1"/>
  <c r="E19" i="1"/>
  <c r="E20" i="1"/>
  <c r="E21" i="1"/>
  <c r="E6" i="1"/>
  <c r="B131" i="1"/>
  <c r="B115" i="1"/>
  <c r="E129" i="1"/>
  <c r="E130" i="1"/>
  <c r="E131" i="1"/>
  <c r="E132" i="1"/>
  <c r="E133" i="1"/>
  <c r="E115" i="1"/>
  <c r="E108" i="1"/>
  <c r="E107" i="1"/>
  <c r="E109" i="1"/>
  <c r="E110" i="1"/>
  <c r="E82" i="1"/>
  <c r="E81" i="1"/>
  <c r="E97" i="1"/>
  <c r="E83" i="1"/>
  <c r="E52" i="1"/>
  <c r="E17" i="1"/>
  <c r="V75" i="1"/>
  <c r="FO119" i="8"/>
  <c r="FP119" i="8"/>
  <c r="FQ119" i="8"/>
  <c r="FS119" i="8"/>
  <c r="FT119" i="8"/>
  <c r="FU119" i="8"/>
  <c r="FW119" i="8"/>
  <c r="FX119" i="8"/>
  <c r="FY119" i="8"/>
  <c r="FZ119" i="8"/>
  <c r="GA119" i="8"/>
  <c r="GB119" i="8"/>
  <c r="GC119" i="8"/>
  <c r="GD119" i="8"/>
  <c r="GF119" i="8"/>
  <c r="GG119" i="8"/>
  <c r="GH119" i="8"/>
  <c r="GI119" i="8"/>
  <c r="GJ119" i="8"/>
  <c r="GK119" i="8"/>
  <c r="GL119" i="8"/>
  <c r="GM119" i="8"/>
  <c r="GN119" i="8"/>
  <c r="GO119" i="8"/>
  <c r="GP119" i="8"/>
  <c r="GQ119" i="8"/>
  <c r="GR119" i="8"/>
  <c r="GT119" i="8"/>
  <c r="GU119" i="8"/>
  <c r="GV119" i="8"/>
  <c r="GW119" i="8"/>
  <c r="GX119" i="8"/>
  <c r="GY119" i="8"/>
  <c r="GZ119" i="8"/>
  <c r="FM119" i="8"/>
  <c r="FL21" i="8"/>
  <c r="FL24" i="8"/>
  <c r="FL27" i="8"/>
  <c r="FL30" i="8"/>
  <c r="FL18" i="8"/>
  <c r="FL37" i="8"/>
  <c r="FL40" i="8"/>
  <c r="FL43" i="8"/>
  <c r="FL46" i="8"/>
  <c r="FL49" i="8"/>
  <c r="FL52" i="8"/>
  <c r="FL34" i="8"/>
  <c r="FL59" i="8"/>
  <c r="FL62" i="8"/>
  <c r="FL65" i="8"/>
  <c r="FL68" i="8"/>
  <c r="FL71" i="8"/>
  <c r="FL56" i="8"/>
  <c r="FL78" i="8"/>
  <c r="FL81" i="8"/>
  <c r="FL84" i="8"/>
  <c r="FL87" i="8"/>
  <c r="FL90" i="8"/>
  <c r="FL75" i="8"/>
  <c r="FL94" i="8"/>
  <c r="FL97" i="8"/>
  <c r="FL100" i="8"/>
  <c r="FL106" i="8"/>
  <c r="FL109" i="8"/>
  <c r="FL112" i="8"/>
  <c r="FL115" i="8"/>
  <c r="FL8" i="8"/>
  <c r="FL11" i="8"/>
  <c r="FL14" i="8"/>
  <c r="FL5" i="8"/>
  <c r="DZ119" i="8"/>
  <c r="EA119" i="8"/>
  <c r="EB119" i="8"/>
  <c r="EC119" i="8"/>
  <c r="ED119" i="8"/>
  <c r="EE119" i="8"/>
  <c r="EF119" i="8"/>
  <c r="EG119" i="8"/>
  <c r="EH119" i="8"/>
  <c r="EJ119" i="8"/>
  <c r="EK119" i="8"/>
  <c r="EL119" i="8"/>
  <c r="EN119" i="8"/>
  <c r="EO119" i="8"/>
  <c r="EP119" i="8"/>
  <c r="EQ119" i="8"/>
  <c r="ER119" i="8"/>
  <c r="ES119" i="8"/>
  <c r="ET119" i="8"/>
  <c r="EU119" i="8"/>
  <c r="EV119" i="8"/>
  <c r="EW119" i="8"/>
  <c r="EX119" i="8"/>
  <c r="EY119" i="8"/>
  <c r="EZ119" i="8"/>
  <c r="FA119" i="8"/>
  <c r="FC119" i="8"/>
  <c r="FD119" i="8"/>
  <c r="FE119" i="8"/>
  <c r="FF119" i="8"/>
  <c r="FG119" i="8"/>
  <c r="FI119" i="8"/>
  <c r="FJ119" i="8"/>
  <c r="FK119" i="8"/>
  <c r="DH119" i="8"/>
  <c r="DI119" i="8"/>
  <c r="DL119" i="8"/>
  <c r="DM119" i="8"/>
  <c r="DN119" i="8"/>
  <c r="DO119" i="8"/>
  <c r="DQ119" i="8"/>
  <c r="DR119" i="8"/>
  <c r="DT119" i="8"/>
  <c r="DV119" i="8"/>
  <c r="DW119" i="8"/>
  <c r="DX119" i="8"/>
  <c r="DY119" i="8"/>
  <c r="DG106" i="8"/>
  <c r="DG109" i="8"/>
  <c r="DG112" i="8"/>
  <c r="DG115" i="8"/>
  <c r="DG103" i="8"/>
  <c r="DG100" i="8"/>
  <c r="DG97" i="8"/>
  <c r="DG94" i="8"/>
  <c r="DG78" i="8"/>
  <c r="DG81" i="8"/>
  <c r="DG84" i="8"/>
  <c r="DG87" i="8"/>
  <c r="DG90" i="8"/>
  <c r="DG75" i="8"/>
  <c r="DG59" i="8"/>
  <c r="DG62" i="8"/>
  <c r="DG65" i="8"/>
  <c r="DG68" i="8"/>
  <c r="DG71" i="8"/>
  <c r="DG56" i="8"/>
  <c r="DG37" i="8"/>
  <c r="DG40" i="8"/>
  <c r="DG43" i="8"/>
  <c r="DG46" i="8"/>
  <c r="DG49" i="8"/>
  <c r="DG52" i="8"/>
  <c r="DG34" i="8"/>
  <c r="DG21" i="8"/>
  <c r="DG24" i="8"/>
  <c r="DG27" i="8"/>
  <c r="DG30" i="8"/>
  <c r="DG18" i="8"/>
  <c r="DG8" i="8"/>
  <c r="DG11" i="8"/>
  <c r="DG14" i="8"/>
  <c r="AT119" i="8"/>
  <c r="AV119" i="8"/>
  <c r="AW119" i="8"/>
  <c r="AX119" i="8"/>
  <c r="AY119" i="8"/>
  <c r="AZ119" i="8"/>
  <c r="BA119" i="8"/>
  <c r="BB119" i="8"/>
  <c r="BD119" i="8"/>
  <c r="BE119" i="8"/>
  <c r="BF119" i="8"/>
  <c r="BG119" i="8"/>
  <c r="BH119" i="8"/>
  <c r="BI119" i="8"/>
  <c r="BJ119" i="8"/>
  <c r="BK119" i="8"/>
  <c r="BL119" i="8"/>
  <c r="BM119" i="8"/>
  <c r="BN119" i="8"/>
  <c r="BO119" i="8"/>
  <c r="BP119" i="8"/>
  <c r="BQ119" i="8"/>
  <c r="BR119" i="8"/>
  <c r="BT119" i="8"/>
  <c r="BV119" i="8"/>
  <c r="BW119" i="8"/>
  <c r="BX119" i="8"/>
  <c r="BZ119" i="8"/>
  <c r="CA119" i="8"/>
  <c r="CB119" i="8"/>
  <c r="CC119" i="8"/>
  <c r="CD119" i="8"/>
  <c r="CE119" i="8"/>
  <c r="CF119" i="8"/>
  <c r="CG119" i="8"/>
  <c r="CH119" i="8"/>
  <c r="CJ119" i="8"/>
  <c r="CK119" i="8"/>
  <c r="CL119" i="8"/>
  <c r="CM119" i="8"/>
  <c r="CO119" i="8"/>
  <c r="CP119" i="8"/>
  <c r="CQ119" i="8"/>
  <c r="CR119" i="8"/>
  <c r="CS119" i="8"/>
  <c r="CT119" i="8"/>
  <c r="CU119" i="8"/>
  <c r="CV119" i="8"/>
  <c r="CX119" i="8"/>
  <c r="CY119" i="8"/>
  <c r="CZ119" i="8"/>
  <c r="DA119" i="8"/>
  <c r="DB119" i="8"/>
  <c r="DD119" i="8"/>
  <c r="DE119" i="8"/>
  <c r="DF119" i="8"/>
  <c r="AL119" i="8"/>
  <c r="AM119" i="8"/>
  <c r="AN119" i="8"/>
  <c r="AO119" i="8"/>
  <c r="AP119" i="8"/>
  <c r="AQ119" i="8"/>
  <c r="AR119" i="8"/>
  <c r="AS119" i="8"/>
  <c r="N119" i="8"/>
  <c r="O119" i="8"/>
  <c r="Q119" i="8"/>
  <c r="T119" i="8"/>
  <c r="U119" i="8"/>
  <c r="V119" i="8"/>
  <c r="W119" i="8"/>
  <c r="X119" i="8"/>
  <c r="Y119" i="8"/>
  <c r="AA119" i="8"/>
  <c r="AB119" i="8"/>
  <c r="AC119" i="8"/>
  <c r="AD119" i="8"/>
  <c r="AE119" i="8"/>
  <c r="AF119" i="8"/>
  <c r="AG119" i="8"/>
  <c r="AI119" i="8"/>
  <c r="AJ119" i="8"/>
  <c r="AK119" i="8"/>
  <c r="F119" i="8"/>
  <c r="I119" i="8"/>
  <c r="J119" i="8"/>
  <c r="L119" i="8"/>
  <c r="D119" i="8"/>
  <c r="B119" i="8"/>
  <c r="DG119" i="8" l="1"/>
  <c r="DG4" i="8"/>
  <c r="HH5" i="8" s="1"/>
  <c r="FL102" i="8"/>
  <c r="HI11" i="8" s="1"/>
  <c r="FL93" i="8"/>
  <c r="HI10" i="8" s="1"/>
  <c r="FL55" i="8"/>
  <c r="HI8" i="8" s="1"/>
  <c r="FL4" i="8"/>
  <c r="HI5" i="8" s="1"/>
  <c r="DG33" i="8"/>
  <c r="HH7" i="8" s="1"/>
  <c r="FL119" i="8"/>
  <c r="FL120" i="8" s="1"/>
  <c r="FL33" i="8"/>
  <c r="HI7" i="8" s="1"/>
  <c r="FL17" i="8"/>
  <c r="HI6" i="8" s="1"/>
  <c r="FL74" i="8"/>
  <c r="HI9" i="8" s="1"/>
  <c r="DG93" i="8"/>
  <c r="HH10" i="8" s="1"/>
  <c r="DG102" i="8"/>
  <c r="HH11" i="8" s="1"/>
  <c r="DG55" i="8"/>
  <c r="HH8" i="8" s="1"/>
  <c r="DG74" i="8"/>
  <c r="HH9" i="8" s="1"/>
  <c r="HB55" i="8"/>
  <c r="HJ8" i="8" s="1"/>
  <c r="HB17" i="8"/>
  <c r="HJ6" i="8" s="1"/>
  <c r="HB93" i="8"/>
  <c r="HJ10" i="8" s="1"/>
  <c r="HB102" i="8"/>
  <c r="HJ11" i="8" s="1"/>
  <c r="HB119" i="8"/>
  <c r="HB120" i="8" s="1"/>
  <c r="HB74" i="8"/>
  <c r="HJ9" i="8" s="1"/>
  <c r="HB33" i="8"/>
  <c r="HJ7" i="8" s="1"/>
  <c r="DG17" i="8"/>
  <c r="HH6" i="8" s="1"/>
  <c r="AQ134" i="1"/>
  <c r="BW134" i="1"/>
  <c r="BZ33" i="1"/>
  <c r="W44" i="1" l="1"/>
  <c r="AI44" i="1" s="1"/>
  <c r="BW103" i="1"/>
  <c r="AQ103" i="1"/>
  <c r="BG98" i="1"/>
  <c r="AA98" i="1"/>
  <c r="BG77" i="1"/>
  <c r="AA77" i="1"/>
  <c r="BZ68" i="1"/>
  <c r="AT68" i="1"/>
  <c r="X33" i="1"/>
  <c r="BD33" i="1"/>
  <c r="BE5" i="1"/>
  <c r="Y5" i="1"/>
  <c r="B134" i="1"/>
  <c r="B135" i="1"/>
  <c r="B118" i="1"/>
  <c r="B119" i="1"/>
  <c r="B120" i="1"/>
  <c r="B121" i="1"/>
  <c r="B122" i="1"/>
  <c r="B123" i="1"/>
  <c r="B127" i="1"/>
  <c r="B128" i="1"/>
  <c r="B129" i="1"/>
  <c r="B130" i="1"/>
  <c r="B132" i="1"/>
  <c r="B133" i="1"/>
  <c r="B99" i="1"/>
  <c r="B100" i="1"/>
  <c r="B101" i="1"/>
  <c r="B102" i="1"/>
  <c r="B103" i="1"/>
  <c r="B104" i="1"/>
  <c r="B105" i="1"/>
  <c r="B106" i="1"/>
  <c r="B110" i="1"/>
  <c r="B111" i="1"/>
  <c r="B112" i="1"/>
  <c r="B113" i="1"/>
  <c r="B114" i="1"/>
  <c r="B116" i="1"/>
  <c r="B117" i="1"/>
  <c r="B98" i="1"/>
  <c r="B77" i="1"/>
  <c r="B78" i="1"/>
  <c r="B79" i="1"/>
  <c r="B80" i="1"/>
  <c r="B76" i="1"/>
  <c r="B68" i="1"/>
  <c r="B69" i="1"/>
  <c r="B70" i="1"/>
  <c r="B71" i="1"/>
  <c r="B72" i="1"/>
  <c r="B73" i="1"/>
  <c r="B74" i="1"/>
  <c r="B67" i="1"/>
  <c r="B59" i="1"/>
  <c r="B60" i="1"/>
  <c r="B61" i="1"/>
  <c r="B62" i="1"/>
  <c r="B63" i="1"/>
  <c r="B58" i="1"/>
  <c r="BD12" i="1"/>
  <c r="BD13" i="1"/>
  <c r="BD14" i="1"/>
  <c r="BD11" i="1"/>
  <c r="V14" i="1"/>
  <c r="BC14" i="1" s="1"/>
  <c r="V13" i="1"/>
  <c r="BC13" i="1" s="1"/>
  <c r="V12" i="1"/>
  <c r="BC12" i="1" s="1"/>
  <c r="E14" i="1"/>
  <c r="E13" i="1"/>
  <c r="E12" i="1"/>
  <c r="X57" i="1"/>
  <c r="X56" i="1"/>
  <c r="X55" i="1"/>
  <c r="X54" i="1"/>
  <c r="E57" i="1"/>
  <c r="E56" i="1"/>
  <c r="E55" i="1"/>
  <c r="E54" i="1"/>
  <c r="E4" i="1"/>
  <c r="E5" i="1"/>
  <c r="E7" i="1"/>
  <c r="E8" i="1"/>
  <c r="E9" i="1"/>
  <c r="E10" i="1"/>
  <c r="E11" i="1"/>
  <c r="E15" i="1"/>
  <c r="E16" i="1"/>
  <c r="E22" i="1"/>
  <c r="E23" i="1"/>
  <c r="E24" i="1"/>
  <c r="E25" i="1"/>
  <c r="E26" i="1"/>
  <c r="E29" i="1"/>
  <c r="E30" i="1"/>
  <c r="E31" i="1"/>
  <c r="E32" i="1"/>
  <c r="E33" i="1"/>
  <c r="E34" i="1"/>
  <c r="E35" i="1"/>
  <c r="E38" i="1"/>
  <c r="E39" i="1"/>
  <c r="E40" i="1"/>
  <c r="E41" i="1"/>
  <c r="E42" i="1"/>
  <c r="E43" i="1"/>
  <c r="E44" i="1"/>
  <c r="E45" i="1"/>
  <c r="E46" i="1"/>
  <c r="E47" i="1"/>
  <c r="E48" i="1"/>
  <c r="E49" i="1"/>
  <c r="E50" i="1"/>
  <c r="E51" i="1"/>
  <c r="E53" i="1"/>
  <c r="E58" i="1"/>
  <c r="E59" i="1"/>
  <c r="E60" i="1"/>
  <c r="E61" i="1"/>
  <c r="E62" i="1"/>
  <c r="E63" i="1"/>
  <c r="E65" i="1"/>
  <c r="E66" i="1"/>
  <c r="E67" i="1"/>
  <c r="E68" i="1"/>
  <c r="E69" i="1"/>
  <c r="E70" i="1"/>
  <c r="E71" i="1"/>
  <c r="E72" i="1"/>
  <c r="E73" i="1"/>
  <c r="E74" i="1"/>
  <c r="E75" i="1"/>
  <c r="E76" i="1"/>
  <c r="E77" i="1"/>
  <c r="E78" i="1"/>
  <c r="E79" i="1"/>
  <c r="E80" i="1"/>
  <c r="E84" i="1"/>
  <c r="E85" i="1"/>
  <c r="E86" i="1"/>
  <c r="E87" i="1"/>
  <c r="E88" i="1"/>
  <c r="E89" i="1"/>
  <c r="E90" i="1"/>
  <c r="E92" i="1"/>
  <c r="E93" i="1"/>
  <c r="E94" i="1"/>
  <c r="E95" i="1"/>
  <c r="E96" i="1"/>
  <c r="E98" i="1"/>
  <c r="E99" i="1"/>
  <c r="E100" i="1"/>
  <c r="E101" i="1"/>
  <c r="E102" i="1"/>
  <c r="E103" i="1"/>
  <c r="E104" i="1"/>
  <c r="E105" i="1"/>
  <c r="E106" i="1"/>
  <c r="E111" i="1"/>
  <c r="E112" i="1"/>
  <c r="E113" i="1"/>
  <c r="E114" i="1"/>
  <c r="E116" i="1"/>
  <c r="E117" i="1"/>
  <c r="E118" i="1"/>
  <c r="E119" i="1"/>
  <c r="E120" i="1"/>
  <c r="E127" i="1"/>
  <c r="E128" i="1"/>
  <c r="E134" i="1"/>
  <c r="E135" i="1"/>
  <c r="E3" i="1"/>
  <c r="CF121" i="1"/>
  <c r="CE121" i="1"/>
  <c r="BN121" i="1"/>
  <c r="AZ121" i="1"/>
  <c r="AY121" i="1"/>
  <c r="AH121" i="1"/>
  <c r="V121" i="1"/>
  <c r="BH133" i="1"/>
  <c r="BC133" i="1"/>
  <c r="V133" i="1" s="1"/>
  <c r="BD133" i="1"/>
  <c r="BC132" i="1"/>
  <c r="CI129" i="1"/>
  <c r="CD129" i="1"/>
  <c r="AX129" i="1"/>
  <c r="AH129" i="1"/>
  <c r="BN129" i="1"/>
  <c r="X129" i="1"/>
  <c r="BD129" i="1"/>
  <c r="V129" i="1"/>
  <c r="BN128" i="1"/>
  <c r="AH128" i="1"/>
  <c r="V128" i="1"/>
  <c r="X127" i="1"/>
  <c r="BD127" i="1" s="1"/>
  <c r="AY127" i="1"/>
  <c r="CD127" i="1"/>
  <c r="CE127" i="1"/>
  <c r="AH127" i="1"/>
  <c r="BN127" i="1"/>
  <c r="V127" i="1"/>
  <c r="V126" i="1"/>
  <c r="V125" i="1"/>
  <c r="V123" i="1"/>
  <c r="BD122" i="1"/>
  <c r="BC122" i="1"/>
  <c r="CE120" i="1"/>
  <c r="AY120" i="1"/>
  <c r="BD120" i="1"/>
  <c r="BN120" i="1"/>
  <c r="AH120" i="1"/>
  <c r="V120" i="1"/>
  <c r="BN119" i="1"/>
  <c r="AH119" i="1"/>
  <c r="BN118" i="1"/>
  <c r="AH118" i="1"/>
  <c r="V118" i="1"/>
  <c r="BQ117" i="1"/>
  <c r="BC117" i="1"/>
  <c r="V117" i="1"/>
  <c r="W117" i="1"/>
  <c r="BC116" i="1"/>
  <c r="CI116" i="1"/>
  <c r="BD116" i="1"/>
  <c r="V114" i="1"/>
  <c r="W114" i="1"/>
  <c r="AH44" i="1" l="1"/>
  <c r="BC44" i="1"/>
  <c r="BO44" i="1" s="1"/>
  <c r="AK44" i="1"/>
  <c r="AL44" i="1"/>
  <c r="AB44" i="1"/>
  <c r="X44" i="1"/>
  <c r="BD44" i="1"/>
  <c r="BH44" i="1"/>
  <c r="AP44" i="1"/>
  <c r="AQ44" i="1"/>
  <c r="AN44" i="1"/>
  <c r="BT44" i="1"/>
  <c r="BV44" i="1"/>
  <c r="BW44" i="1"/>
  <c r="BC114" i="1"/>
  <c r="V112" i="1"/>
  <c r="CD111" i="1"/>
  <c r="BQ111" i="1"/>
  <c r="BN111" i="1"/>
  <c r="AH111" i="1"/>
  <c r="V111" i="1"/>
  <c r="BD110" i="1"/>
  <c r="CD110" i="1"/>
  <c r="BN110" i="1"/>
  <c r="BQ110" i="1"/>
  <c r="V110" i="1"/>
  <c r="BN105" i="1"/>
  <c r="AH105" i="1"/>
  <c r="V105" i="1"/>
  <c r="BN104" i="1"/>
  <c r="AH104" i="1"/>
  <c r="V104" i="1"/>
  <c r="V103" i="1"/>
  <c r="V102" i="1"/>
  <c r="V100" i="1"/>
  <c r="AH98" i="1"/>
  <c r="V98" i="1"/>
  <c r="BD96" i="1"/>
  <c r="BD95" i="1"/>
  <c r="BD94" i="1"/>
  <c r="V96" i="1"/>
  <c r="BC96" i="1" s="1"/>
  <c r="V95" i="1"/>
  <c r="BC95" i="1" s="1"/>
  <c r="V94" i="1"/>
  <c r="BC94" i="1" s="1"/>
  <c r="V93" i="1"/>
  <c r="BC92" i="1"/>
  <c r="V89" i="1"/>
  <c r="V87" i="1"/>
  <c r="V86" i="1"/>
  <c r="X80" i="1"/>
  <c r="BD80" i="1"/>
  <c r="BD76" i="1"/>
  <c r="X76" i="1"/>
  <c r="BN76" i="1"/>
  <c r="AH76" i="1"/>
  <c r="V76" i="1"/>
  <c r="CF75" i="1"/>
  <c r="CE75" i="1"/>
  <c r="CD75" i="1"/>
  <c r="CC75" i="1"/>
  <c r="BN75" i="1"/>
  <c r="AW75" i="1"/>
  <c r="AH75" i="1"/>
  <c r="BN74" i="1"/>
  <c r="AH74" i="1"/>
  <c r="V74" i="1"/>
  <c r="BC73" i="1"/>
  <c r="BD73" i="1" s="1"/>
  <c r="X73" i="1"/>
  <c r="V72" i="1"/>
  <c r="V71" i="1"/>
  <c r="BD70" i="1"/>
  <c r="W70" i="1"/>
  <c r="BC69" i="1"/>
  <c r="BD69" i="1"/>
  <c r="V69" i="1"/>
  <c r="W69" i="1"/>
  <c r="V68" i="1"/>
  <c r="V67" i="1"/>
  <c r="BD65" i="1"/>
  <c r="BD66" i="1"/>
  <c r="CE66" i="1"/>
  <c r="BN66" i="1"/>
  <c r="CE65" i="1"/>
  <c r="CF65" i="1" s="1"/>
  <c r="BN65" i="1"/>
  <c r="AH65" i="1"/>
  <c r="V66" i="1"/>
  <c r="V65" i="1"/>
  <c r="CD63" i="1"/>
  <c r="AX63" i="1"/>
  <c r="BN63" i="1"/>
  <c r="AH63" i="1"/>
  <c r="V63" i="1"/>
  <c r="V62" i="1"/>
  <c r="AY61" i="1"/>
  <c r="AX61" i="1"/>
  <c r="BN61" i="1"/>
  <c r="V61" i="1"/>
  <c r="V59" i="1"/>
  <c r="BN51" i="1"/>
  <c r="AH51" i="1"/>
  <c r="V51" i="1"/>
  <c r="BN50" i="1"/>
  <c r="V50" i="1"/>
  <c r="AH49" i="1"/>
  <c r="V49" i="1"/>
  <c r="BC48" i="1"/>
  <c r="CF46" i="1"/>
  <c r="AH46" i="1"/>
  <c r="BN46" i="1"/>
  <c r="AZ45" i="1"/>
  <c r="AW45" i="1"/>
  <c r="AX45" i="1"/>
  <c r="CF45" i="1"/>
  <c r="CD45" i="1"/>
  <c r="CC45" i="1"/>
  <c r="X45" i="1"/>
  <c r="BD45" i="1"/>
  <c r="BQ45" i="1"/>
  <c r="AK45" i="1"/>
  <c r="AH45" i="1"/>
  <c r="BN45" i="1"/>
  <c r="BQ43" i="1"/>
  <c r="BQ42" i="1"/>
  <c r="BQ41" i="1"/>
  <c r="AK43" i="1"/>
  <c r="AK42" i="1"/>
  <c r="AK41" i="1"/>
  <c r="V43" i="1"/>
  <c r="V42" i="1"/>
  <c r="V41" i="1"/>
  <c r="BH40" i="1"/>
  <c r="AB40" i="1"/>
  <c r="BD40" i="1"/>
  <c r="X40" i="1"/>
  <c r="BN40" i="1"/>
  <c r="AH40" i="1"/>
  <c r="BC30" i="1"/>
  <c r="BD29" i="1"/>
  <c r="BD28" i="1"/>
  <c r="BC28" i="1"/>
  <c r="X28" i="1"/>
  <c r="W28" i="1"/>
  <c r="BC25" i="1"/>
  <c r="W25" i="1"/>
  <c r="BJ21" i="1"/>
  <c r="AD21" i="1"/>
  <c r="V20" i="1"/>
  <c r="BN18" i="1"/>
  <c r="AH18" i="1"/>
  <c r="V18" i="1"/>
  <c r="CF16" i="1"/>
  <c r="BM16" i="1"/>
  <c r="AH16" i="1"/>
  <c r="BD15" i="1"/>
  <c r="X15" i="1"/>
  <c r="CF15" i="1"/>
  <c r="BN15" i="1"/>
  <c r="CF10" i="1"/>
  <c r="AZ10" i="1"/>
  <c r="CF8" i="1"/>
  <c r="AZ8" i="1"/>
  <c r="V11" i="1"/>
  <c r="BC11" i="1" s="1"/>
  <c r="AH10" i="1"/>
  <c r="BN10" i="1"/>
  <c r="V9" i="1"/>
  <c r="BN7" i="1"/>
  <c r="AH7" i="1"/>
  <c r="V40" i="1"/>
  <c r="V31" i="1"/>
  <c r="W29" i="1"/>
  <c r="BC29" i="1" s="1"/>
  <c r="V25" i="1"/>
  <c r="BN44" i="1" l="1"/>
  <c r="BR44" i="1"/>
  <c r="BQ44" i="1"/>
  <c r="BD3" i="1"/>
  <c r="X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tc={003D8AA5-91A1-474D-A789-7019B015893A}</author>
    <author>tc={3D3F999E-DF7C-0340-A8F0-7AA3E634DD3B}</author>
    <author>tc={5D0317CB-305A-F344-8CD1-F07772B7C511}</author>
    <author>tc={6F6AE342-6BC3-B541-8A78-5EA8BEE99EEE}</author>
    <author>tc={FD45DDEF-8FB6-964B-99F5-708CC914C278}</author>
    <author>tc={31D10F6D-9D2E-844A-AE45-4E7A652C069F}</author>
    <author>tc={AA814B03-2BDC-1343-985D-896A66F76705}</author>
    <author>tc={34A29912-04B3-8644-82DF-1F3EA49A4930}</author>
    <author>tc={8B204077-5CF3-F04E-8B1D-57E352C64796}</author>
    <author>tc={16ACC1CC-55A7-8849-A642-6706807C44D6}</author>
    <author>tc={89AD9C56-B7EB-6249-92DA-83425DEBFCF1}</author>
    <author>tc={7CA81BB5-F5B2-4046-B2C0-8C79477F7B85}</author>
    <author>tc={3CB54424-3728-194B-8954-93716423D74F}</author>
    <author>tc={81343A42-6015-0B43-9AD1-C7E26C255B64}</author>
    <author>tc={A349DF43-EF9F-C443-9F89-B5F087E84C25}</author>
    <author>tc={2C1474E2-8150-9D4D-B789-B47A65F4D1E3}</author>
    <author>tc={47236D30-8DEA-A140-AAFB-4F374B8FA8AD}</author>
    <author>tc={7B2257A6-7DAE-9143-83D0-0C9AB34E2E89}</author>
    <author>tc={874D485F-A720-C247-AAE0-993015940FA7}</author>
    <author>tc={AB468B04-0AF2-8E4E-917A-A739C13438F6}</author>
    <author>tc={D4FB745C-325E-DB4E-AFDE-D8442D6717DF}</author>
    <author>tc={CD67DD85-DB68-C945-B5DA-70FA3CD55E68}</author>
    <author>tc={FBCC03DA-49B1-A244-B6C1-E14225675BE1}</author>
  </authors>
  <commentList>
    <comment ref="X2" authorId="0" shapeId="0" xr:uid="{003D8AA5-91A1-474D-A789-7019B015893A}">
      <text>
        <t>[Threaded comment]
Your version of Excel allows you to read this threaded comment; however, any edits to it will get removed if the file is opened in a newer version of Excel. Learn more: https://go.microsoft.com/fwlink/?linkid=870924
Comment:
    30 days mortality, otherwise 7-days if not available</t>
      </text>
    </comment>
    <comment ref="Y2" authorId="1" shapeId="0" xr:uid="{3D3F999E-DF7C-0340-A8F0-7AA3E634DD3B}">
      <text>
        <t>[Threaded comment]
Your version of Excel allows you to read this threaded comment; however, any edits to it will get removed if the file is opened in a newer version of Excel. Learn more: https://go.microsoft.com/fwlink/?linkid=870924
Comment:
    Total length of stay</t>
      </text>
    </comment>
    <comment ref="AV2" authorId="2" shapeId="0" xr:uid="{5D0317CB-305A-F344-8CD1-F07772B7C511}">
      <text>
        <t xml:space="preserve">[Threaded comment]
Your version of Excel allows you to read this threaded comment; however, any edits to it will get removed if the file is opened in a newer version of Excel. Learn more: https://go.microsoft.com/fwlink/?linkid=870924
Comment:
    Source BSI </t>
      </text>
    </comment>
    <comment ref="AW2" authorId="3" shapeId="0" xr:uid="{6F6AE342-6BC3-B541-8A78-5EA8BEE99EEE}">
      <text>
        <t>[Threaded comment]
Your version of Excel allows you to read this threaded comment; however, any edits to it will get removed if the file is opened in a newer version of Excel. Learn more: https://go.microsoft.com/fwlink/?linkid=870924
Comment:
    Source BSI</t>
      </text>
    </comment>
    <comment ref="AX2" authorId="4" shapeId="0" xr:uid="{FD45DDEF-8FB6-964B-99F5-708CC914C278}">
      <text>
        <t>[Threaded comment]
Your version of Excel allows you to read this threaded comment; however, any edits to it will get removed if the file is opened in a newer version of Excel. Learn more: https://go.microsoft.com/fwlink/?linkid=870924
Comment:
    source of infection</t>
      </text>
    </comment>
    <comment ref="AY2" authorId="5" shapeId="0" xr:uid="{31D10F6D-9D2E-844A-AE45-4E7A652C069F}">
      <text>
        <t>[Threaded comment]
Your version of Excel allows you to read this threaded comment; however, any edits to it will get removed if the file is opened in a newer version of Excel. Learn more: https://go.microsoft.com/fwlink/?linkid=870924
Comment:
    Source BSI</t>
      </text>
    </comment>
    <comment ref="AZ2" authorId="6" shapeId="0" xr:uid="{AA814B03-2BDC-1343-985D-896A66F76705}">
      <text>
        <t>[Threaded comment]
Your version of Excel allows you to read this threaded comment; however, any edits to it will get removed if the file is opened in a newer version of Excel. Learn more: https://go.microsoft.com/fwlink/?linkid=870924
Comment:
    source of BSI</t>
      </text>
    </comment>
    <comment ref="CB2" authorId="7" shapeId="0" xr:uid="{34A29912-04B3-8644-82DF-1F3EA49A4930}">
      <text>
        <t>[Threaded comment]
Your version of Excel allows you to read this threaded comment; however, any edits to it will get removed if the file is opened in a newer version of Excel. Learn more: https://go.microsoft.com/fwlink/?linkid=870924
Comment:
    Source BSI</t>
      </text>
    </comment>
    <comment ref="CC2" authorId="8" shapeId="0" xr:uid="{8B204077-5CF3-F04E-8B1D-57E352C64796}">
      <text>
        <t>[Threaded comment]
Your version of Excel allows you to read this threaded comment; however, any edits to it will get removed if the file is opened in a newer version of Excel. Learn more: https://go.microsoft.com/fwlink/?linkid=870924
Comment:
    Source BSI</t>
      </text>
    </comment>
    <comment ref="CD2" authorId="9" shapeId="0" xr:uid="{16ACC1CC-55A7-8849-A642-6706807C44D6}">
      <text>
        <t>[Threaded comment]
Your version of Excel allows you to read this threaded comment; however, any edits to it will get removed if the file is opened in a newer version of Excel. Learn more: https://go.microsoft.com/fwlink/?linkid=870924
Comment:
    source of BSI</t>
      </text>
    </comment>
    <comment ref="CE2" authorId="10" shapeId="0" xr:uid="{89AD9C56-B7EB-6249-92DA-83425DEBFCF1}">
      <text>
        <t>[Threaded comment]
Your version of Excel allows you to read this threaded comment; however, any edits to it will get removed if the file is opened in a newer version of Excel. Learn more: https://go.microsoft.com/fwlink/?linkid=870924
Comment:
    Source BSI</t>
      </text>
    </comment>
    <comment ref="CF2" authorId="11" shapeId="0" xr:uid="{7CA81BB5-F5B2-4046-B2C0-8C79477F7B85}">
      <text>
        <t>[Threaded comment]
Your version of Excel allows you to read this threaded comment; however, any edits to it will get removed if the file is opened in a newer version of Excel. Learn more: https://go.microsoft.com/fwlink/?linkid=870924
Comment:
    Source BSI</t>
      </text>
    </comment>
    <comment ref="AD10" authorId="12" shapeId="0" xr:uid="{3CB54424-3728-194B-8954-93716423D74F}">
      <text>
        <t>[Threaded comment]
Your version of Excel allows you to read this threaded comment; however, any edits to it will get removed if the file is opened in a newer version of Excel. Learn more: https://go.microsoft.com/fwlink/?linkid=870924
Comment:
    2012 COP</t>
      </text>
    </comment>
    <comment ref="AE10" authorId="13" shapeId="0" xr:uid="{81343A42-6015-0B43-9AD1-C7E26C255B64}">
      <text>
        <t>[Threaded comment]
Your version of Excel allows you to read this threaded comment; however, any edits to it will get removed if the file is opened in a newer version of Excel. Learn more: https://go.microsoft.com/fwlink/?linkid=870924
Comment:
    2012 COP</t>
      </text>
    </comment>
    <comment ref="AD21" authorId="14" shapeId="0" xr:uid="{A349DF43-EF9F-C443-9F89-B5F087E84C25}">
      <text>
        <t>[Threaded comment]
Your version of Excel allows you to read this threaded comment; however, any edits to it will get removed if the file is opened in a newer version of Excel. Learn more: https://go.microsoft.com/fwlink/?linkid=870924
Comment:
    in USD 2018</t>
      </text>
    </comment>
    <comment ref="BJ21" authorId="15" shapeId="0" xr:uid="{2C1474E2-8150-9D4D-B789-B47A65F4D1E3}">
      <text>
        <t>[Threaded comment]
Your version of Excel allows you to read this threaded comment; however, any edits to it will get removed if the file is opened in a newer version of Excel. Learn more: https://go.microsoft.com/fwlink/?linkid=870924
Comment:
    in USD 2018</t>
      </text>
    </comment>
    <comment ref="A53" authorId="16" shapeId="0" xr:uid="{47236D30-8DEA-A140-AAFB-4F374B8FA8AD}">
      <text>
        <t>[Threaded comment]
Your version of Excel allows you to read this threaded comment; however, any edits to it will get removed if the file is opened in a newer version of Excel. Learn more: https://go.microsoft.com/fwlink/?linkid=870924
Comment:
    Excess mortality reported</t>
      </text>
    </comment>
    <comment ref="A54" authorId="17" shapeId="0" xr:uid="{7B2257A6-7DAE-9143-83D0-0C9AB34E2E89}">
      <text>
        <t>[Threaded comment]
Your version of Excel allows you to read this threaded comment; however, any edits to it will get removed if the file is opened in a newer version of Excel. Learn more: https://go.microsoft.com/fwlink/?linkid=870924
Comment:
    Excess mortality reported</t>
      </text>
    </comment>
    <comment ref="A55" authorId="18" shapeId="0" xr:uid="{874D485F-A720-C247-AAE0-993015940FA7}">
      <text>
        <t>[Threaded comment]
Your version of Excel allows you to read this threaded comment; however, any edits to it will get removed if the file is opened in a newer version of Excel. Learn more: https://go.microsoft.com/fwlink/?linkid=870924
Comment:
    Excess mortality reported</t>
      </text>
    </comment>
    <comment ref="A56" authorId="19" shapeId="0" xr:uid="{AB468B04-0AF2-8E4E-917A-A739C13438F6}">
      <text>
        <t>[Threaded comment]
Your version of Excel allows you to read this threaded comment; however, any edits to it will get removed if the file is opened in a newer version of Excel. Learn more: https://go.microsoft.com/fwlink/?linkid=870924
Comment:
    Excess mortality reported</t>
      </text>
    </comment>
    <comment ref="A57" authorId="20" shapeId="0" xr:uid="{D4FB745C-325E-DB4E-AFDE-D8442D6717DF}">
      <text>
        <t>[Threaded comment]
Your version of Excel allows you to read this threaded comment; however, any edits to it will get removed if the file is opened in a newer version of Excel. Learn more: https://go.microsoft.com/fwlink/?linkid=870924
Comment:
    Excess mortality reported</t>
      </text>
    </comment>
    <comment ref="D93" authorId="21" shapeId="0" xr:uid="{CD67DD85-DB68-C945-B5DA-70FA3CD55E68}">
      <text>
        <t>[Threaded comment]
Your version of Excel allows you to read this threaded comment; however, any edits to it will get removed if the file is opened in a newer version of Excel. Learn more: https://go.microsoft.com/fwlink/?linkid=870924
Comment:
    This includes multiple LMICs
In the same sample</t>
      </text>
    </comment>
    <comment ref="Y93" authorId="22" shapeId="0" xr:uid="{FBCC03DA-49B1-A244-B6C1-E14225675BE1}">
      <text>
        <t xml:space="preserve">[Threaded comment]
Your version of Excel allows you to read this threaded comment; however, any edits to it will get removed if the file is opened in a newer version of Excel. Learn more: https://go.microsoft.com/fwlink/?linkid=870924
Comment:
    reported as excess length of stay compared to carbapenem susceptible enterobacteriacae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Toro Cabrera</author>
    <author>tc={9908884D-699F-0045-B0BD-6E4608376C18}</author>
    <author>tc={64AA221F-07A7-854F-9577-A67B6C5265E1}</author>
    <author>tc={BB8B3D9D-3F28-694C-A456-B1021F0E71C1}</author>
    <author>tc={972EF5AF-109D-3249-A92E-FC43F259F4BA}</author>
    <author>tc={DE0FFC3E-B064-B041-BB6D-3488CB4D482C}</author>
    <author>tc={00013F11-1A15-F343-9DE7-D420F272E9EC}</author>
    <author>tc={654B62D5-6BBC-884C-BAFC-C61D33327E8F}</author>
    <author>tc={36B2597D-140F-4F4F-BDAF-7D411DD9A4F1}</author>
    <author>tc={A758929D-F06A-E946-86C6-660A43C71660}</author>
    <author>tc={0C319D81-B9E5-4846-8EED-ECCB6B343958}</author>
    <author>tc={299EC470-73FE-BC48-95A8-95DDDD9603AC}</author>
    <author>tc={A8E5426A-6A69-3E46-8D12-29C10EA0DAC4}</author>
    <author>tc={E35455F7-B7B3-9D41-8FFA-8B0E14355BC7}</author>
    <author>tc={0DDAE57C-E761-1845-B9C1-433C69006B08}</author>
    <author>tc={64F584BF-3A09-D143-AD69-7B43950F17D4}</author>
    <author>tc={FE368A92-DE8F-1849-9759-500F9954CAB8}</author>
    <author>tc={D783E2A4-EE7C-B443-9548-49277AFF1D77}</author>
    <author>tc={C02437C4-0675-5A45-AFC9-667F1289ACC2}</author>
    <author>tc={0609811D-3B44-284D-A670-B1F0B27E6CF4}</author>
    <author>tc={71CBF8FD-B30B-1B4E-A64A-A61C8C49BF14}</author>
    <author>tc={10172B71-C7D5-8E44-8B9E-949295900620}</author>
    <author>tc={33F8DF47-4045-2540-8883-ED5B9C5638EE}</author>
    <author>tc={31614964-8731-B24C-B15D-D0B000A61277}</author>
    <author>tc={37B4F324-3AAA-7040-8276-F6DCDED59D16}</author>
    <author>tc={0FAD830B-C15A-2D4D-9520-45C936EAAFB1}</author>
    <author>tc={414DFD1D-8C92-E946-ABF8-C13C31939C00}</author>
    <author>tc={17043CB2-D637-6E4F-888B-29574387653A}</author>
    <author>tc={E17DB3CC-78E1-CB46-92CF-9BD5D556872C}</author>
    <author>tc={13CFD63B-3E90-9C40-B0EE-A0424C9B9E5C}</author>
    <author>tc={4B2253AE-E575-044A-BAFE-BB5C525F1DF5}</author>
    <author>tc={FD97AB09-6D0E-2447-909C-F27C27FF4C5C}</author>
    <author>tc={7E53F832-DF8F-E64C-A0BD-3290D3A3FC7E}</author>
    <author>tc={3A20D5B5-6034-EF4E-9BA3-1FCC8309E480}</author>
    <author>tc={4C9943DD-012D-2D4D-B869-412AD406C297}</author>
    <author>tc={EBA7F80A-FEF7-F140-8F85-AFF50C640DFA}</author>
    <author>tc={7B30A234-EEF0-0348-B76C-41008A80524A}</author>
    <author>tc={290BC53A-7F21-3040-B5F9-8A72FA5463A9}</author>
  </authors>
  <commentList>
    <comment ref="AW2" authorId="0" shapeId="0" xr:uid="{9282216D-5DB4-404F-BEB2-3E668DC24BA6}">
      <text>
        <r>
          <rPr>
            <b/>
            <sz val="10"/>
            <color rgb="FF000000"/>
            <rFont val="Tahoma"/>
            <family val="2"/>
          </rPr>
          <t xml:space="preserve">
outcome: sepsis</t>
        </r>
      </text>
    </comment>
    <comment ref="H5" authorId="1" shapeId="0" xr:uid="{9908884D-699F-0045-B0BD-6E4608376C18}">
      <text>
        <t>[Threaded comment]
Your version of Excel allows you to read this threaded comment; however, any edits to it will get removed if the file is opened in a newer version of Excel. Learn more: https://go.microsoft.com/fwlink/?linkid=870924
Comment:
    Patients with the absence of medical records or inadequate data and discharged against medical advice were excluded</t>
      </text>
    </comment>
    <comment ref="I5" authorId="2" shapeId="0" xr:uid="{64AA221F-07A7-854F-9577-A67B6C5265E1}">
      <text>
        <t>[Threaded comment]
Your version of Excel allows you to read this threaded comment; however, any edits to it will get removed if the file is opened in a newer version of Excel. Learn more: https://go.microsoft.com/fwlink/?linkid=870924
Comment:
    positive multiple organisms excluded</t>
      </text>
    </comment>
    <comment ref="P5" authorId="3" shapeId="0" xr:uid="{BB8B3D9D-3F28-694C-A456-B1021F0E71C1}">
      <text>
        <t>[Threaded comment]
Your version of Excel allows you to read this threaded comment; however, any edits to it will get removed if the file is opened in a newer version of Excel. Learn more: https://go.microsoft.com/fwlink/?linkid=870924
Comment:
    Patients with more than one bacterial growth in the blood culture, patients younger than 18 years and pregnant women were excluded from the study</t>
      </text>
    </comment>
    <comment ref="S5" authorId="4" shapeId="0" xr:uid="{972EF5AF-109D-3249-A92E-FC43F259F4BA}">
      <text>
        <t>[Threaded comment]
Your version of Excel allows you to read this threaded comment; however, any edits to it will get removed if the file is opened in a newer version of Excel. Learn more: https://go.microsoft.com/fwlink/?linkid=870924
Comment:
    Only the first episode of K. pneumoniae BSI was included. Also, missing data on medical records.</t>
      </text>
    </comment>
    <comment ref="AE5" authorId="0" shapeId="0" xr:uid="{1311E1BA-F1B7-E34F-BE70-AB5884596F36}">
      <text>
        <r>
          <rPr>
            <sz val="10"/>
            <color rgb="FF000000"/>
            <rFont val="Tahoma"/>
            <family val="2"/>
          </rPr>
          <t>"</t>
        </r>
        <r>
          <rPr>
            <sz val="10"/>
            <color rgb="FF000000"/>
            <rFont val="Calibri"/>
            <family val="2"/>
          </rPr>
          <t xml:space="preserve"> We ex-
</t>
        </r>
        <r>
          <rPr>
            <sz val="10"/>
            <color rgb="FF000000"/>
            <rFont val="Calibri"/>
            <family val="2"/>
          </rPr>
          <t xml:space="preserve">cluded from analysis episodes of infection caused by Gram- negative bacilli that are possibly intrinsically resistant to these classes of antibiotics
</t>
        </r>
        <r>
          <rPr>
            <sz val="10"/>
            <color rgb="FF000000"/>
            <rFont val="Tahoma"/>
            <family val="2"/>
          </rPr>
          <t>"</t>
        </r>
      </text>
    </comment>
    <comment ref="AI5" authorId="0" shapeId="0" xr:uid="{0C41CA0A-C80A-9F4E-9D9B-AE4502AA6BB6}">
      <text>
        <r>
          <rPr>
            <sz val="10"/>
            <color rgb="FF000000"/>
            <rFont val="Tahoma"/>
            <family val="2"/>
          </rPr>
          <t>"</t>
        </r>
        <r>
          <rPr>
            <sz val="10"/>
            <color rgb="FF000000"/>
            <rFont val="Calibri"/>
            <family val="2"/>
          </rPr>
          <t xml:space="preserve">Se excluyeron los pacientes con bacteriemia polimicrobiana, historia clínica incompleta o ausencia de información en cuanto a haber recibido antibióticos
</t>
        </r>
        <r>
          <rPr>
            <sz val="10"/>
            <color rgb="FF000000"/>
            <rFont val="Tahoma"/>
            <family val="2"/>
          </rPr>
          <t>"</t>
        </r>
      </text>
    </comment>
    <comment ref="AK5" authorId="0" shapeId="0" xr:uid="{509BE499-A416-314E-9ADE-D62F4B24AE53}">
      <text>
        <r>
          <rPr>
            <sz val="10"/>
            <color rgb="FF000000"/>
            <rFont val="Calibri"/>
            <family val="2"/>
          </rPr>
          <t xml:space="preserve">No se incluyeron segundos episodios de un mismo paciente, muestras de ca- téteres vasculares o de otros tipos pero sin aislamiento en sangre periférica, aquéllos sin información disponible en la historia clínica ni bacteriemias polimicrobianas
</t>
        </r>
      </text>
    </comment>
    <comment ref="AL5" authorId="0" shapeId="0" xr:uid="{FC5B547A-7B5A-FA40-B10D-824AFE46E03D}">
      <text>
        <r>
          <rPr>
            <sz val="10"/>
            <color rgb="FF000000"/>
            <rFont val="Tahoma"/>
            <family val="2"/>
          </rPr>
          <t>contamiated and persistent bacteremia were excluded</t>
        </r>
      </text>
    </comment>
    <comment ref="AN5" authorId="0" shapeId="0" xr:uid="{25F8CF3B-9B42-F245-970D-5DB8379772D4}">
      <text>
        <r>
          <rPr>
            <sz val="3"/>
            <color rgb="FF000000"/>
            <rFont val="Calibri"/>
            <family val="2"/>
          </rPr>
          <t xml:space="preserve">
</t>
        </r>
        <r>
          <rPr>
            <sz val="9"/>
            <color rgb="FF000000"/>
            <rFont val="Calibri"/>
            <family val="2"/>
          </rPr>
          <t xml:space="preserve">The present study excluded any patients who were under 15 years old, acquired </t>
        </r>
        <r>
          <rPr>
            <i/>
            <sz val="9"/>
            <color rgb="FF000000"/>
            <rFont val="Calibri"/>
            <family val="2"/>
          </rPr>
          <t xml:space="preserve">A. baumannii </t>
        </r>
        <r>
          <rPr>
            <sz val="9"/>
            <color rgb="FF000000"/>
            <rFont val="Calibri"/>
            <family val="2"/>
          </rPr>
          <t>BSI from other hospitals or who had neither the clinical signs nor symptoms indicating BSI at the time the blood culture was taken.</t>
        </r>
        <r>
          <rPr>
            <sz val="3"/>
            <color rgb="FF000000"/>
            <rFont val="Calibri"/>
            <family val="2"/>
          </rPr>
          <t xml:space="preserve">
</t>
        </r>
      </text>
    </comment>
    <comment ref="AO5" authorId="0" shapeId="0" xr:uid="{B54681D3-4E34-4E4A-BE36-2E5D8C7227AA}">
      <text>
        <r>
          <rPr>
            <sz val="10"/>
            <color rgb="FF000000"/>
            <rFont val="Tahoma"/>
            <family val="2"/>
          </rPr>
          <t>"</t>
        </r>
        <r>
          <rPr>
            <sz val="10"/>
            <color rgb="FF000000"/>
            <rFont val="Calibri"/>
            <family val="2"/>
          </rPr>
          <t xml:space="preserve">Patients that met the eligibility criteria but died or were transferred or discharged prior to a positive culture report, and were no longer inpatients
</t>
        </r>
        <r>
          <rPr>
            <sz val="10"/>
            <color rgb="FF000000"/>
            <rFont val="Tahoma"/>
            <family val="2"/>
          </rPr>
          <t>"</t>
        </r>
      </text>
    </comment>
    <comment ref="AR5" authorId="0" shapeId="0" xr:uid="{8E75C2BF-9FCE-7544-BC3F-A981F870AB43}">
      <text>
        <r>
          <rPr>
            <sz val="10"/>
            <color rgb="FF000000"/>
            <rFont val="Tahoma"/>
            <family val="2"/>
          </rPr>
          <t xml:space="preserve">fig 1
</t>
        </r>
      </text>
    </comment>
    <comment ref="AV5" authorId="0" shapeId="0" xr:uid="{72B821EE-F4E6-DB4F-890E-4A47354084C1}">
      <text>
        <r>
          <rPr>
            <sz val="10"/>
            <color rgb="FF000000"/>
            <rFont val="Calibri"/>
            <family val="2"/>
          </rPr>
          <t xml:space="preserve">Isolates tested for less than three antimicrobial categories were excluded from the analysis because they were not applicable to ECDC/CDC standard definitions of MDR
</t>
        </r>
      </text>
    </comment>
    <comment ref="AW5" authorId="0" shapeId="0" xr:uid="{0CB68F61-6465-DF48-9673-E4028AC58C09}">
      <text>
        <r>
          <rPr>
            <sz val="10"/>
            <color rgb="FF000000"/>
            <rFont val="Calibri"/>
            <family val="2"/>
          </rPr>
          <t xml:space="preserve">We excluded patients younger than 18years old, those with sepsis acquired in the community or asso- ciated with another healthcare institution, those who refused to sign the consent form and those suffering from polymicrobial sepsis by GNB and non GNB agents. In addition, we excluded patients initially en- rolled in the control or CS-GNB case group that evolved respectively with CS-GNB or CR-GNB infec- tion after discharge from ICU and during the follow- up period.
</t>
        </r>
      </text>
    </comment>
    <comment ref="AY5" authorId="0" shapeId="0" xr:uid="{5F46D6CC-5119-204C-8451-D6E4673EFB6C}">
      <text>
        <r>
          <rPr>
            <sz val="10"/>
            <color rgb="FF000000"/>
            <rFont val="Calibri"/>
            <family val="2"/>
          </rPr>
          <t xml:space="preserve">recurrent BSI was excluded
</t>
        </r>
      </text>
    </comment>
    <comment ref="BB5" authorId="0" shapeId="0" xr:uid="{E9884804-2048-0F47-B4E0-5D0B2BD0597A}">
      <text>
        <r>
          <rPr>
            <sz val="10"/>
            <color rgb="FF000000"/>
            <rFont val="Calibri"/>
            <family val="2"/>
          </rPr>
          <t xml:space="preserve">Four cases were carbapenem-intermediate resistant A. baumannii, thus were excluded from the following comparison between CRAB BSI vs. CSAB BSI
</t>
        </r>
      </text>
    </comment>
    <comment ref="BC5" authorId="5" shapeId="0" xr:uid="{DE0FFC3E-B064-B041-BB6D-3488CB4D482C}">
      <text>
        <t>[Threaded comment]
Your version of Excel allows you to read this threaded comment; however, any edits to it will get removed if the file is opened in a newer version of Excel. Learn more: https://go.microsoft.com/fwlink/?linkid=870924
Comment:
    Excluded if they were not being treated with curative intent for the entire cal-
endar day on which the index blood culture was collected.</t>
      </text>
    </comment>
    <comment ref="BD5" authorId="0" shapeId="0" xr:uid="{C67AA3F2-E231-9248-A112-5212C505D52F}">
      <text>
        <r>
          <rPr>
            <sz val="10"/>
            <color rgb="FF000000"/>
            <rFont val="Calibri"/>
            <family val="2"/>
          </rPr>
          <t xml:space="preserve"> 28 patients were excluded because of incomplete medical records
</t>
        </r>
      </text>
    </comment>
    <comment ref="BE5" authorId="0" shapeId="0" xr:uid="{79666CBD-8009-FB4D-8C0E-958CAB875228}">
      <text>
        <r>
          <rPr>
            <sz val="10"/>
            <color rgb="FF000000"/>
            <rFont val="Calibri"/>
            <family val="2"/>
          </rPr>
          <t xml:space="preserve">Sixteen episodes were excluded because of non- hematological diseases.
</t>
        </r>
      </text>
    </comment>
    <comment ref="BF5" authorId="0" shapeId="0" xr:uid="{7E784CF2-4527-7347-9F7F-089A4F89AE3B}">
      <text>
        <r>
          <rPr>
            <sz val="10"/>
            <color rgb="FF000000"/>
            <rFont val="Calibri"/>
            <family val="2"/>
          </rPr>
          <t xml:space="preserve">cases with incomplete data in the medical record were excluded.
</t>
        </r>
      </text>
    </comment>
    <comment ref="BG5" authorId="0" shapeId="0" xr:uid="{10F0F9CC-AA41-B74E-AD8E-33CEEFE8FEB2}">
      <text>
        <r>
          <rPr>
            <sz val="10"/>
            <color rgb="FF000000"/>
            <rFont val="Calibri"/>
            <family val="2"/>
          </rPr>
          <t xml:space="preserve">Patients with community-acquired infections, those who had been transferred and had started therapy before admission, and all patients &lt;16 years of age were excluded
</t>
        </r>
      </text>
    </comment>
    <comment ref="BH5" authorId="0" shapeId="0" xr:uid="{0CA192FC-11F8-764A-8CF3-C845B109A1D1}">
      <text>
        <r>
          <rPr>
            <sz val="10"/>
            <color rgb="FF000000"/>
            <rFont val="Calibri"/>
            <family val="2"/>
          </rPr>
          <t xml:space="preserve">Patients with polymicrobial bacteraemia were excluded.
</t>
        </r>
      </text>
    </comment>
    <comment ref="BI5" authorId="0" shapeId="0" xr:uid="{26FB8DB6-B442-4040-8962-DA889B0C1409}">
      <text>
        <r>
          <rPr>
            <sz val="10"/>
            <color rgb="FF000000"/>
            <rFont val="Calibri"/>
            <family val="2"/>
          </rPr>
          <t xml:space="preserve">Patients who had fever and neutropenia as a result of their underlying disease without having received chemotherapy were excluded
</t>
        </r>
      </text>
    </comment>
    <comment ref="BJ5" authorId="0" shapeId="0" xr:uid="{6F004D15-8013-0046-AAFF-D249411B91E0}">
      <text>
        <r>
          <rPr>
            <sz val="10"/>
            <color rgb="FF000000"/>
            <rFont val="Tahoma"/>
            <family val="2"/>
          </rPr>
          <t>excluded patients tranfered from different hospital or false bacteremia</t>
        </r>
      </text>
    </comment>
    <comment ref="BK5" authorId="0" shapeId="0" xr:uid="{44CBF2AC-7E71-BD44-AFF1-03B27B9FD861}">
      <text>
        <r>
          <rPr>
            <sz val="10"/>
            <color rgb="FF000000"/>
            <rFont val="Calibri"/>
            <family val="2"/>
          </rPr>
          <t xml:space="preserve">Patients were excluded if the presence of </t>
        </r>
        <r>
          <rPr>
            <i/>
            <sz val="10"/>
            <color rgb="FF000000"/>
            <rFont val="Calibri"/>
            <family val="2"/>
          </rPr>
          <t xml:space="preserve">E. coli </t>
        </r>
        <r>
          <rPr>
            <sz val="10"/>
            <color rgb="FF000000"/>
            <rFont val="Calibri"/>
            <family val="2"/>
          </rPr>
          <t xml:space="preserve">was not confirmed by blood culture testing and through microbiology laboratory report.
</t>
        </r>
      </text>
    </comment>
    <comment ref="BL5" authorId="0" shapeId="0" xr:uid="{795946A2-EBDB-B24A-9F97-9292744F2F69}">
      <text>
        <r>
          <rPr>
            <sz val="10"/>
            <color rgb="FF000000"/>
            <rFont val="Calibri"/>
            <family val="2"/>
          </rPr>
          <t xml:space="preserve">Patients whose treatment time was &lt;48 hours after BSI were excluded
</t>
        </r>
      </text>
    </comment>
    <comment ref="BM5" authorId="0" shapeId="0" xr:uid="{6498170D-B25B-FB48-8ABD-23F2C60B8A92}">
      <text>
        <r>
          <rPr>
            <sz val="10"/>
            <color rgb="FF000000"/>
            <rFont val="Calibri"/>
            <family val="2"/>
          </rPr>
          <t xml:space="preserve">Patients who were the subjects of end-of-life decisions were excluded
</t>
        </r>
      </text>
    </comment>
    <comment ref="BN5" authorId="0" shapeId="0" xr:uid="{A49E84AD-E274-3145-ABBA-8B64300DFCF0}">
      <text>
        <r>
          <rPr>
            <sz val="10"/>
            <color rgb="FF000000"/>
            <rFont val="Calibri"/>
            <family val="2"/>
          </rPr>
          <t xml:space="preserve">Excluded from this group were patients with positive cultures for MRSA at another anatomic site, patients with no negative blood cultures, and patients treated empirically with vancomycin or fluoroquinolones for a period of more than 24h.
</t>
        </r>
      </text>
    </comment>
    <comment ref="BP5" authorId="0" shapeId="0" xr:uid="{A613721B-0AAF-9D47-9DCD-81D475708522}">
      <text>
        <r>
          <rPr>
            <sz val="10"/>
            <color rgb="FF000000"/>
            <rFont val="Calibri"/>
            <family val="2"/>
          </rPr>
          <t xml:space="preserve">Patients who had received antibiot- ics within the last 72 hours were excluded.
</t>
        </r>
      </text>
    </comment>
    <comment ref="BQ5" authorId="0" shapeId="0" xr:uid="{7FCA4F5B-C306-BE4F-80EE-9A5809665B5C}">
      <text>
        <r>
          <rPr>
            <sz val="10"/>
            <color rgb="FF000000"/>
            <rFont val="Calibri"/>
            <family val="2"/>
          </rPr>
          <t xml:space="preserve">Duplicate isolates from the same patient were excluded.
</t>
        </r>
      </text>
    </comment>
    <comment ref="BS5" authorId="6" shapeId="0" xr:uid="{00013F11-1A15-F343-9DE7-D420F272E9EC}">
      <text>
        <t>[Threaded comment]
Your version of Excel allows you to read this threaded comment; however, any edits to it will get removed if the file is opened in a newer version of Excel. Learn more: https://go.microsoft.com/fwlink/?linkid=870924
Comment:
    only patients who had all clinical and laboratory data available were included. The exclusion criteria were as follows: The hospitalization was &lt;24 hours.</t>
      </text>
    </comment>
    <comment ref="BU5" authorId="7" shapeId="0" xr:uid="{654B62D5-6BBC-884C-BAFC-C61D33327E8F}">
      <text>
        <t xml:space="preserve">[Threaded comment]
Your version of Excel allows you to read this threaded comment; however, any edits to it will get removed if the file is opened in a newer version of Excel. Learn more: https://go.microsoft.com/fwlink/?linkid=870924
Comment:
    Only the first episode of K. pneumoniae BSI was included. Patients with multibacterial BSI or patients with incomplete medical records were excluded. </t>
      </text>
    </comment>
    <comment ref="BW5" authorId="0" shapeId="0" xr:uid="{35FE9FB9-746E-E44F-92A1-E177F29854D0}">
      <text>
        <r>
          <rPr>
            <sz val="10"/>
            <color rgb="FF000000"/>
            <rFont val="Calibri"/>
            <family val="2"/>
          </rPr>
          <t xml:space="preserve">We excluded patients who had previously been enrolled in the study and those not treated with curative intent at the time of bloodstream infection onset. 
</t>
        </r>
      </text>
    </comment>
    <comment ref="BX5" authorId="0" shapeId="0" xr:uid="{8722D37B-838A-8E42-95BE-6495799DDE25}">
      <text>
        <r>
          <rPr>
            <sz val="10"/>
            <color rgb="FF000000"/>
            <rFont val="Calibri"/>
            <family val="2"/>
          </rPr>
          <t xml:space="preserve">The exclusion criteria included concurrent active oncological disease, hep- atitis B or hepatitis C infection, active fungal disease, rheuma- tological diseases, and diabetes mellitus
</t>
        </r>
      </text>
    </comment>
    <comment ref="CA5" authorId="0" shapeId="0" xr:uid="{865B12E2-7014-8146-9D8C-0A2BDD8A2FF2}">
      <text>
        <r>
          <rPr>
            <sz val="10"/>
            <color rgb="FF000000"/>
            <rFont val="Calibri"/>
            <family val="2"/>
          </rPr>
          <t xml:space="preserve">Cases of polymicrobial bacteraemia were excluded
</t>
        </r>
      </text>
    </comment>
    <comment ref="CD5" authorId="0" shapeId="0" xr:uid="{E9C8B8EE-E482-FF41-84DA-A88F6BE4B1BB}">
      <text>
        <r>
          <rPr>
            <sz val="10"/>
            <color rgb="FF000000"/>
            <rFont val="Calibri"/>
            <family val="2"/>
          </rPr>
          <t xml:space="preserve">Patients with bacteremia caused by other microorganism before P. aerugi- nosa were excluded
</t>
        </r>
      </text>
    </comment>
    <comment ref="CE5" authorId="0" shapeId="0" xr:uid="{8A468704-53C1-9C46-8C1F-14BCD6709431}">
      <text>
        <r>
          <rPr>
            <sz val="10"/>
            <color rgb="FF000000"/>
            <rFont val="Calibri"/>
            <family val="2"/>
          </rPr>
          <t xml:space="preserve">Se excluyeron los pacientes que ingresaron al hospital con bacteriemias hos- pitalarias adquiridas en otra institución de salud diferente al Hospital Universitario San Ignacio.
</t>
        </r>
      </text>
    </comment>
    <comment ref="CF5" authorId="0" shapeId="0" xr:uid="{621EEFFA-A8DD-EB4D-867A-688472BAB02A}">
      <text>
        <r>
          <rPr>
            <sz val="10"/>
            <color rgb="FF000000"/>
            <rFont val="Calibri"/>
            <family val="2"/>
          </rPr>
          <t xml:space="preserve">Patients from whom strains were isolated within the first 48 h of admission were excluded.
</t>
        </r>
      </text>
    </comment>
    <comment ref="CH5" authorId="0" shapeId="0" xr:uid="{74292BF6-AA7D-A64A-BE14-F15BD2F97D35}">
      <text>
        <r>
          <rPr>
            <sz val="10"/>
            <color rgb="FF000000"/>
            <rFont val="Tahoma"/>
            <family val="2"/>
          </rPr>
          <t xml:space="preserve">excluded re-infection </t>
        </r>
      </text>
    </comment>
    <comment ref="CI5" authorId="8" shapeId="0" xr:uid="{36B2597D-140F-4F4F-BDAF-7D411DD9A4F1}">
      <text>
        <t>[Threaded comment]
Your version of Excel allows you to read this threaded comment; however, any edits to it will get removed if the file is opened in a newer version of Excel. Learn more: https://go.microsoft.com/fwlink/?linkid=870924
Comment:
    Only the first episode of BSI was included, and the remaining sequential isolates were discarded. The detailed inclusion criteria were as follows: (a) patients aged ≥18 years; (b) hospitalization with a complete clinical data set; (c) a blood culture positive for KP and the sample preserved in our laboratory; and (d) clinical manifestations of infection</t>
      </text>
    </comment>
    <comment ref="CJ5" authorId="0" shapeId="0" xr:uid="{1A6B0CDE-29E3-1447-8B38-B6E0DE81B28A}">
      <text>
        <r>
          <rPr>
            <sz val="10"/>
            <color rgb="FF000000"/>
            <rFont val="Calibri"/>
            <family val="2"/>
          </rPr>
          <t xml:space="preserve">Patients whose age was &lt;16 years were excluded
</t>
        </r>
        <r>
          <rPr>
            <sz val="10"/>
            <color rgb="FF000000"/>
            <rFont val="Calibri"/>
            <family val="2"/>
          </rPr>
          <t xml:space="preserve">patients who did not accept &gt;48 hours of antimicrobial treat- ment for any reason were excluded
</t>
        </r>
        <r>
          <rPr>
            <sz val="10"/>
            <color rgb="FF000000"/>
            <rFont val="Calibri"/>
            <family val="2"/>
          </rPr>
          <t xml:space="preserve">
</t>
        </r>
      </text>
    </comment>
    <comment ref="CK5" authorId="0" shapeId="0" xr:uid="{3A0722A1-860C-B640-B69C-90D293FEB861}">
      <text>
        <r>
          <rPr>
            <sz val="10"/>
            <color rgb="FF000000"/>
            <rFont val="Calibri"/>
            <family val="2"/>
          </rPr>
          <t xml:space="preserve">atients who had histories of organ transplantations or hematopoietic stem cell transplantation before the BSI and who were aged less than 16 years were excluded
</t>
        </r>
      </text>
    </comment>
    <comment ref="CM5" authorId="0" shapeId="0" xr:uid="{AE6931B5-E1D2-2148-A04B-D806564C0395}">
      <text>
        <r>
          <rPr>
            <sz val="10"/>
            <color rgb="FF000000"/>
            <rFont val="Calibri"/>
            <family val="2"/>
          </rPr>
          <t xml:space="preserve">Patients with incomplete medical data, younger than 18 years old, or with multiple microbial infections were excluded
</t>
        </r>
      </text>
    </comment>
    <comment ref="CN5" authorId="9" shapeId="0" xr:uid="{A758929D-F06A-E946-86C6-660A43C71660}">
      <text>
        <t xml:space="preserve">[Threaded comment]
Your version of Excel allows you to read this threaded comment; however, any edits to it will get removed if the file is opened in a newer version of Excel. Learn more: https://go.microsoft.com/fwlink/?linkid=870924
Comment:
    P. aeruginosa detected in at least
one blood culture; clinical manifestations supporting a diagnosis
of BSI; and hospital cost and clinical data available both for com-
munity and hospital infections. Data for patients without adequate
clinical information and aged &lt;16 years were excluded. </t>
      </text>
    </comment>
    <comment ref="CP5" authorId="0" shapeId="0" xr:uid="{7BF850D9-B84B-F942-90B7-3558FD1F86DC}">
      <text>
        <r>
          <rPr>
            <sz val="10"/>
            <color rgb="FF000000"/>
            <rFont val="Calibri"/>
            <family val="2"/>
          </rPr>
          <t xml:space="preserve">Patients who had SAB as part of a polymicrobial blood- stream infection were excluded
</t>
        </r>
      </text>
    </comment>
    <comment ref="CS5" authorId="0" shapeId="0" xr:uid="{EFD19C24-ECAB-774D-B0D2-ADD575A596F0}">
      <text>
        <r>
          <rPr>
            <sz val="10"/>
            <color rgb="FF000000"/>
            <rFont val="Calibri"/>
            <family val="2"/>
          </rPr>
          <t xml:space="preserve">Cancer patients with polymicrobial BSI, under the age of 18, or with non-EC-caused BSI were excluded from the study
</t>
        </r>
      </text>
    </comment>
    <comment ref="CT5" authorId="0" shapeId="0" xr:uid="{4BB24679-FD04-AB4F-9897-A5F0A433D977}">
      <text>
        <r>
          <rPr>
            <sz val="10"/>
            <color rgb="FF000000"/>
            <rFont val="Calibri"/>
            <family val="2"/>
          </rPr>
          <t xml:space="preserve">Patients with ESBL-producing Escherichia coli were excluded. Patients with polymicrobial bacteremia and under the age of 18 were also excluded from the study
</t>
        </r>
        <r>
          <rPr>
            <sz val="10"/>
            <color rgb="FF000000"/>
            <rFont val="Calibri"/>
            <family val="2"/>
          </rPr>
          <t xml:space="preserve">
</t>
        </r>
      </text>
    </comment>
    <comment ref="CU5" authorId="0" shapeId="0" xr:uid="{4B12C1CE-1B51-3440-A2CE-D8B04E4F8272}">
      <text>
        <r>
          <rPr>
            <sz val="10"/>
            <color rgb="FF000000"/>
            <rFont val="Tahoma"/>
            <family val="2"/>
          </rPr>
          <t xml:space="preserve">exclusion by interpretative problems
</t>
        </r>
      </text>
    </comment>
    <comment ref="CW5" authorId="10" shapeId="0" xr:uid="{0C319D81-B9E5-4846-8EED-ECCB6B343958}">
      <text>
        <t>[Threaded comment]
Your version of Excel allows you to read this threaded comment; however, any edits to it will get removed if the file is opened in a newer version of Excel. Learn more: https://go.microsoft.com/fwlink/?linkid=870924
Comment:
    Patients with polymicrobial infections were excluded from this study.</t>
      </text>
    </comment>
    <comment ref="CY5" authorId="0" shapeId="0" xr:uid="{4D45BEC6-4D38-E34D-83FA-B9A0934ACE00}">
      <text>
        <r>
          <rPr>
            <sz val="10"/>
            <color rgb="FF000000"/>
            <rFont val="Calibri"/>
            <family val="2"/>
          </rPr>
          <t xml:space="preserve">Patients with insufficient medical records were excluded from this study
</t>
        </r>
      </text>
    </comment>
    <comment ref="CZ5" authorId="0" shapeId="0" xr:uid="{30F1A74A-C15C-B34F-9E23-877F5D7EE50D}">
      <text>
        <r>
          <rPr>
            <sz val="10"/>
            <color rgb="FF000000"/>
            <rFont val="Calibri"/>
            <family val="2"/>
          </rPr>
          <t xml:space="preserve">Cases with incomplete medical records were excluded from the study
</t>
        </r>
      </text>
    </comment>
    <comment ref="DA5" authorId="0" shapeId="0" xr:uid="{33F86AE2-EF9F-4B4E-AFDC-E0F2D6BC628F}">
      <text>
        <r>
          <rPr>
            <sz val="10"/>
            <color rgb="FF000000"/>
            <rFont val="Calibri"/>
            <family val="2"/>
          </rPr>
          <t xml:space="preserve">Patients with positive culture results considered to be due to contaminants as recorded in the case notes were excluded.
</t>
        </r>
      </text>
    </comment>
    <comment ref="DC5" authorId="11" shapeId="0" xr:uid="{299EC470-73FE-BC48-95A8-95DDDD9603AC}">
      <text>
        <t>[Threaded comment]
Your version of Excel allows you to read this threaded comment; however, any edits to it will get removed if the file is opened in a newer version of Excel. Learn more: https://go.microsoft.com/fwlink/?linkid=870924
Comment:
    If the same patient had more than two episodes of Enterobacteriaceae bacteremia within 6 months, this study only included the first bloodstream infection data. Only patients with complete clinical microbiological and cost data for analysis were included in this study.</t>
      </text>
    </comment>
    <comment ref="DD5" authorId="0" shapeId="0" xr:uid="{81F7840D-B585-4F48-8E2C-0A6E4D2BFD07}">
      <text>
        <r>
          <rPr>
            <sz val="10"/>
            <color rgb="FF000000"/>
            <rFont val="Calibri"/>
            <family val="2"/>
          </rPr>
          <t xml:space="preserve">(1) Culture results showing the presence of different bacteria in blood samples drained simultaneously from both sides of the body, eventhough E. coli was isolated from one of the samples; and (2) Blood culture results showing polymicrobial infection.
</t>
        </r>
      </text>
    </comment>
    <comment ref="DE5" authorId="0" shapeId="0" xr:uid="{BB188B4C-1E60-6D48-9776-7844FB7DA4CE}">
      <text>
        <r>
          <rPr>
            <sz val="10"/>
            <color rgb="FF000000"/>
            <rFont val="Tahoma"/>
            <family val="2"/>
          </rPr>
          <t>patients with blood tumor</t>
        </r>
      </text>
    </comment>
    <comment ref="DK5" authorId="12" shapeId="0" xr:uid="{A8E5426A-6A69-3E46-8D12-29C10EA0DAC4}">
      <text>
        <t>[Threaded comment]
Your version of Excel allows you to read this threaded comment; however, any edits to it will get removed if the file is opened in a newer version of Excel. Learn more: https://go.microsoft.com/fwlink/?linkid=870924
Comment:
    Patients with the absence of medical records or inadequate data and discharged against medical advice were excluded</t>
      </text>
    </comment>
    <comment ref="DS5" authorId="13" shapeId="0" xr:uid="{E35455F7-B7B3-9D41-8FFA-8B0E14355BC7}">
      <text>
        <t>[Threaded comment]
Your version of Excel allows you to read this threaded comment; however, any edits to it will get removed if the file is opened in a newer version of Excel. Learn more: https://go.microsoft.com/fwlink/?linkid=870924
Comment:
    Patients with more than one bacterial growth in the blood culture, patients younger than 18 years and pregnant women were excluded from the study</t>
      </text>
    </comment>
    <comment ref="DX5" authorId="0" shapeId="0" xr:uid="{4CB40C98-FD84-EE45-A237-EE2006085D61}">
      <text>
        <r>
          <rPr>
            <b/>
            <sz val="10"/>
            <color rgb="FF000000"/>
            <rFont val="Tahoma"/>
            <family val="2"/>
          </rPr>
          <t xml:space="preserve">
There is no arbitrari exclusion, but the number of patients selected (157) are different from the number in the table 1 (192).</t>
        </r>
      </text>
    </comment>
    <comment ref="EA5" authorId="0" shapeId="0" xr:uid="{A4F77B01-8711-9247-9C9F-38997CD22F7F}">
      <text>
        <r>
          <rPr>
            <b/>
            <sz val="10"/>
            <color rgb="FF000000"/>
            <rFont val="Tahoma"/>
            <family val="2"/>
          </rPr>
          <t xml:space="preserve">
</t>
        </r>
        <r>
          <rPr>
            <b/>
            <sz val="10"/>
            <color rgb="FF000000"/>
            <rFont val="Tahoma"/>
            <family val="2"/>
          </rPr>
          <t xml:space="preserve">Twelve
</t>
        </r>
        <r>
          <rPr>
            <b/>
            <sz val="10"/>
            <color rgb="FF000000"/>
            <rFont val="Tahoma"/>
            <family val="2"/>
          </rPr>
          <t xml:space="preserve">were excluded for not fulfilling all of the criteria of a
</t>
        </r>
        <r>
          <rPr>
            <b/>
            <sz val="10"/>
            <color rgb="FF000000"/>
            <rFont val="Tahoma"/>
            <family val="2"/>
          </rPr>
          <t xml:space="preserve">10
</t>
        </r>
        <r>
          <rPr>
            <b/>
            <sz val="10"/>
            <color rgb="FF000000"/>
            <rFont val="Tahoma"/>
            <family val="2"/>
          </rPr>
          <t xml:space="preserve">Table 2. Distribution of vancomycin-resistant patients (cases) and vancomycin-susceptible patients (controls) per unit
</t>
        </r>
        <r>
          <rPr>
            <b/>
            <sz val="10"/>
            <color rgb="FF000000"/>
            <rFont val="Tahoma"/>
            <family val="2"/>
          </rPr>
          <t xml:space="preserve"> nosocomial bloodstream infection
</t>
        </r>
      </text>
    </comment>
    <comment ref="EC5" authorId="0" shapeId="0" xr:uid="{C120DB7E-9321-484C-BBB0-63822665211F}">
      <text>
        <r>
          <rPr>
            <b/>
            <sz val="10"/>
            <color rgb="FF000000"/>
            <rFont val="Tahoma"/>
            <family val="2"/>
          </rPr>
          <t xml:space="preserve">
No se incluyeron segundos episodios de un mismo paciente, muestras de ca- téteres vasculares o de otros tipos pero sin aislamiento en sangre periférica, aquéllos sin información disponible en la historia clínica ni bacteriemias polimicrobianas
</t>
        </r>
      </text>
    </comment>
    <comment ref="EE5" authorId="0" shapeId="0" xr:uid="{D0070512-799D-DF4B-B7E1-DB25157D8BDC}">
      <text>
        <r>
          <rPr>
            <b/>
            <sz val="10"/>
            <color rgb="FF000000"/>
            <rFont val="Tahoma"/>
            <family val="2"/>
          </rPr>
          <t xml:space="preserve">
"Patients that met the eligibility criteria but died or were transferred or discharged prior to a positive culture report, and were no longer inpatients
"</t>
        </r>
      </text>
    </comment>
    <comment ref="EL5" authorId="0" shapeId="0" xr:uid="{4F3C946E-913F-E042-BA67-C8EA2F4D3835}">
      <text>
        <r>
          <rPr>
            <b/>
            <sz val="10"/>
            <color rgb="FF000000"/>
            <rFont val="Tahoma"/>
            <family val="2"/>
          </rPr>
          <t xml:space="preserve">
</t>
        </r>
        <r>
          <rPr>
            <b/>
            <sz val="10"/>
            <color rgb="FF000000"/>
            <rFont val="Tahoma"/>
            <family val="2"/>
          </rPr>
          <t xml:space="preserve">Four cases were carbapenem-intermediate resistant A. baumannii, thus were excluded from the following comparison between CRAB BSI vs. CSAB BSI
</t>
        </r>
      </text>
    </comment>
    <comment ref="EM5" authorId="14" shapeId="0" xr:uid="{0DDAE57C-E761-1845-B9C1-433C69006B08}">
      <text>
        <t>[Threaded comment]
Your version of Excel allows you to read this threaded comment; however, any edits to it will get removed if the file is opened in a newer version of Excel. Learn more: https://go.microsoft.com/fwlink/?linkid=870924
Comment:
    Excluded if they were not being treated with curative intent for the entire cal-
endar day on which the index blood culture was collected.</t>
      </text>
    </comment>
    <comment ref="EN5" authorId="0" shapeId="0" xr:uid="{6B0A34DA-D5FB-7449-8ECA-E508BE4EB099}">
      <text>
        <r>
          <rPr>
            <b/>
            <sz val="10"/>
            <color rgb="FF000000"/>
            <rFont val="Tahoma"/>
            <family val="2"/>
          </rPr>
          <t xml:space="preserve">
</t>
        </r>
        <r>
          <rPr>
            <b/>
            <sz val="10"/>
            <color rgb="FF000000"/>
            <rFont val="Tahoma"/>
            <family val="2"/>
          </rPr>
          <t xml:space="preserve"> 28 patients were excluded because of incomplete medical records
</t>
        </r>
      </text>
    </comment>
    <comment ref="EO5" authorId="0" shapeId="0" xr:uid="{19F88943-315C-EB4C-B021-FD09A4FE03B6}">
      <text>
        <r>
          <rPr>
            <b/>
            <sz val="10"/>
            <color rgb="FF000000"/>
            <rFont val="Tahoma"/>
            <family val="2"/>
          </rPr>
          <t xml:space="preserve">
</t>
        </r>
        <r>
          <rPr>
            <b/>
            <sz val="10"/>
            <color rgb="FF000000"/>
            <rFont val="Tahoma"/>
            <family val="2"/>
          </rPr>
          <t xml:space="preserve">cases with incomplete data in the medical record were excluded.
</t>
        </r>
      </text>
    </comment>
    <comment ref="EP5" authorId="0" shapeId="0" xr:uid="{84A38501-F4B5-2645-8E59-BD825B8D672F}">
      <text>
        <r>
          <rPr>
            <b/>
            <sz val="10"/>
            <color rgb="FF000000"/>
            <rFont val="Tahoma"/>
            <family val="2"/>
          </rPr>
          <t xml:space="preserve">
Patients who were the subjects of end-of-life decisions were excluded
</t>
        </r>
      </text>
    </comment>
    <comment ref="ER5" authorId="0" shapeId="0" xr:uid="{4F1670BA-220C-0449-9252-BA64A8CAA817}">
      <text>
        <r>
          <rPr>
            <b/>
            <sz val="10"/>
            <color rgb="FF000000"/>
            <rFont val="Tahoma"/>
            <family val="2"/>
          </rPr>
          <t xml:space="preserve">
We excluded patients who had previously been enrolled in the study and those not treated with curative intent at the time of bloodstream infection onset. 
</t>
        </r>
      </text>
    </comment>
    <comment ref="ES5" authorId="0" shapeId="0" xr:uid="{ED935536-E18B-8442-BA8E-3CDE0F1A2AD3}">
      <text>
        <r>
          <rPr>
            <b/>
            <sz val="10"/>
            <color rgb="FF000000"/>
            <rFont val="Tahoma"/>
            <family val="2"/>
          </rPr>
          <t xml:space="preserve">
</t>
        </r>
        <r>
          <rPr>
            <b/>
            <sz val="10"/>
            <color rgb="FF000000"/>
            <rFont val="Tahoma"/>
            <family val="2"/>
          </rPr>
          <t xml:space="preserve">Cases of polymicrobial bacteraemia were excluded
</t>
        </r>
      </text>
    </comment>
    <comment ref="EU5" authorId="0" shapeId="0" xr:uid="{768B4BFB-33DF-9940-B95E-6429D338C53E}">
      <text>
        <r>
          <rPr>
            <b/>
            <sz val="10"/>
            <color rgb="FF000000"/>
            <rFont val="Tahoma"/>
            <family val="2"/>
          </rPr>
          <t xml:space="preserve">
Patients with bacteremia caused by other microorganism before P. aerugi- nosa were excluded
</t>
        </r>
      </text>
    </comment>
    <comment ref="EV5" authorId="0" shapeId="0" xr:uid="{1693434B-98F9-1040-8E4F-FDC5950532CC}">
      <text>
        <r>
          <rPr>
            <b/>
            <sz val="10"/>
            <color rgb="FF000000"/>
            <rFont val="Tahoma"/>
            <family val="2"/>
          </rPr>
          <t xml:space="preserve">
</t>
        </r>
        <r>
          <rPr>
            <b/>
            <sz val="10"/>
            <color rgb="FF000000"/>
            <rFont val="Tahoma"/>
            <family val="2"/>
          </rPr>
          <t xml:space="preserve">Se excluyeron los pacientes que ingresaron al hospital con bacteriemias hos- pitalarias adquiridas en otra institución de salud diferente al Hospital Universitario San Ignacio.
</t>
        </r>
      </text>
    </comment>
    <comment ref="EW5" authorId="0" shapeId="0" xr:uid="{ECB2F349-B6ED-824B-8102-515C32A5DFF7}">
      <text>
        <r>
          <rPr>
            <b/>
            <sz val="10"/>
            <color rgb="FF000000"/>
            <rFont val="Tahoma"/>
            <family val="2"/>
          </rPr>
          <t xml:space="preserve">
</t>
        </r>
        <r>
          <rPr>
            <b/>
            <sz val="10"/>
            <color rgb="FF000000"/>
            <rFont val="Tahoma"/>
            <family val="2"/>
          </rPr>
          <t xml:space="preserve">Patients from whom strains were isolated within the first 48 h of admission were excluded.
</t>
        </r>
      </text>
    </comment>
    <comment ref="EZ5" authorId="0" shapeId="0" xr:uid="{95A03F9F-6519-2F4C-8E49-E947FEF2A05B}">
      <text>
        <r>
          <rPr>
            <b/>
            <sz val="10"/>
            <color rgb="FF000000"/>
            <rFont val="Tahoma"/>
            <family val="2"/>
          </rPr>
          <t xml:space="preserve">
excluded because of incomplete record, and incorrect clasification</t>
        </r>
      </text>
    </comment>
    <comment ref="FA5" authorId="0" shapeId="0" xr:uid="{BE7F281A-0B90-2B49-AE5E-A508260612C3}">
      <text>
        <r>
          <rPr>
            <b/>
            <sz val="10"/>
            <color rgb="FF000000"/>
            <rFont val="Tahoma"/>
            <family val="2"/>
          </rPr>
          <t xml:space="preserve">
</t>
        </r>
        <r>
          <rPr>
            <b/>
            <sz val="10"/>
            <color rgb="FF000000"/>
            <rFont val="Tahoma"/>
            <family val="2"/>
          </rPr>
          <t xml:space="preserve">Patients with incomplete medical data, younger than 18 years old, or with multiple microbial infections were excluded
</t>
        </r>
      </text>
    </comment>
    <comment ref="FB5" authorId="15" shapeId="0" xr:uid="{64F584BF-3A09-D143-AD69-7B43950F17D4}">
      <text>
        <t xml:space="preserve">[Threaded comment]
Your version of Excel allows you to read this threaded comment; however, any edits to it will get removed if the file is opened in a newer version of Excel. Learn more: https://go.microsoft.com/fwlink/?linkid=870924
Comment:
    P. aeruginosa detected in at least
one blood culture; clinical manifestations supporting a diagnosis
of BSI; and hospital cost and clinical data available both for com-
munity and hospital infections. Data for patients without adequate
clinical information and aged &lt;16 years were excluded. </t>
      </text>
    </comment>
    <comment ref="FE5" authorId="0" shapeId="0" xr:uid="{626FE927-AD95-CC47-AA77-916EC806791D}">
      <text>
        <r>
          <rPr>
            <b/>
            <sz val="10"/>
            <color rgb="FF000000"/>
            <rFont val="Tahoma"/>
            <family val="2"/>
          </rPr>
          <t xml:space="preserve">
</t>
        </r>
        <r>
          <rPr>
            <b/>
            <sz val="10"/>
            <color rgb="FF000000"/>
            <rFont val="Tahoma"/>
            <family val="2"/>
          </rPr>
          <t xml:space="preserve">Patients with ESBL-producing Escherichia coli were excluded. Patients with polymicrobial bacteremia and under the age of 18 were also excluded from the study
</t>
        </r>
        <r>
          <rPr>
            <b/>
            <sz val="10"/>
            <color rgb="FF000000"/>
            <rFont val="Tahoma"/>
            <family val="2"/>
          </rPr>
          <t xml:space="preserve">
</t>
        </r>
      </text>
    </comment>
    <comment ref="FF5" authorId="0" shapeId="0" xr:uid="{2444A2E3-FA28-4F49-A15A-B2309C1652AD}">
      <text>
        <r>
          <rPr>
            <b/>
            <sz val="10"/>
            <color rgb="FF000000"/>
            <rFont val="Tahoma"/>
            <family val="2"/>
          </rPr>
          <t xml:space="preserve">
</t>
        </r>
        <r>
          <rPr>
            <b/>
            <sz val="10"/>
            <color rgb="FF000000"/>
            <rFont val="Tahoma"/>
            <family val="2"/>
          </rPr>
          <t xml:space="preserve">Patients with insufficient medical records were excluded from this study
</t>
        </r>
      </text>
    </comment>
    <comment ref="FG5" authorId="0" shapeId="0" xr:uid="{8248019A-DEFC-A64D-84DA-17F2A9744CEC}">
      <text>
        <r>
          <rPr>
            <b/>
            <sz val="10"/>
            <color rgb="FF000000"/>
            <rFont val="Tahoma"/>
            <family val="2"/>
          </rPr>
          <t xml:space="preserve">
</t>
        </r>
        <r>
          <rPr>
            <b/>
            <sz val="10"/>
            <color rgb="FF000000"/>
            <rFont val="Tahoma"/>
            <family val="2"/>
          </rPr>
          <t xml:space="preserve">Patients with positive culture results considered to be due to contaminants as recorded in the case notes were excluded.
</t>
        </r>
      </text>
    </comment>
    <comment ref="FH5" authorId="16" shapeId="0" xr:uid="{FE368A92-DE8F-1849-9759-500F9954CAB8}">
      <text>
        <t>[Threaded comment]
Your version of Excel allows you to read this threaded comment; however, any edits to it will get removed if the file is opened in a newer version of Excel. Learn more: https://go.microsoft.com/fwlink/?linkid=870924
Comment:
    If the same patient had more than two episodes of Enterobacteriaceae bacteremia within 6 months, this study only included the first bloodstream infection data. Only patients with complete clinical microbiological and cost data for analysis were included in this study.</t>
      </text>
    </comment>
    <comment ref="FI5" authorId="0" shapeId="0" xr:uid="{40B58B89-059F-4041-A13F-5381BC8E98F9}">
      <text>
        <r>
          <rPr>
            <b/>
            <sz val="10"/>
            <color rgb="FF000000"/>
            <rFont val="Tahoma"/>
            <family val="2"/>
          </rPr>
          <t xml:space="preserve">
</t>
        </r>
        <r>
          <rPr>
            <b/>
            <sz val="10"/>
            <color rgb="FF000000"/>
            <rFont val="Tahoma"/>
            <family val="2"/>
          </rPr>
          <t xml:space="preserve">excluding re-admissions when the final discharge was &gt;48 h
</t>
        </r>
      </text>
    </comment>
    <comment ref="FJ5" authorId="0" shapeId="0" xr:uid="{309750A4-EC1F-954D-99DD-8B767FAA8AD2}">
      <text>
        <r>
          <rPr>
            <b/>
            <sz val="10"/>
            <color rgb="FF000000"/>
            <rFont val="Tahoma"/>
            <family val="2"/>
          </rPr>
          <t xml:space="preserve">
</t>
        </r>
        <r>
          <rPr>
            <b/>
            <sz val="10"/>
            <color rgb="FF000000"/>
            <rFont val="Tahoma"/>
            <family val="2"/>
          </rPr>
          <t xml:space="preserve">(1) Culture results showing the presence of different bacteria in blood samples drained simultaneously from both sides of the body, eventhough E. coli was isolated from one of the samples; and (2) Blood culture results showing polymicrobial infection.
</t>
        </r>
      </text>
    </comment>
    <comment ref="FN5" authorId="17" shapeId="0" xr:uid="{D783E2A4-EE7C-B443-9548-49277AFF1D77}">
      <text>
        <t>[Threaded comment]
Your version of Excel allows you to read this threaded comment; however, any edits to it will get removed if the file is opened in a newer version of Excel. Learn more: https://go.microsoft.com/fwlink/?linkid=870924
Comment:
    Patients with the absence of medical records or inadequate data and discharged against medical advice were excluded</t>
      </text>
    </comment>
    <comment ref="FR5" authorId="18" shapeId="0" xr:uid="{C02437C4-0675-5A45-AFC9-667F1289ACC2}">
      <text>
        <t>[Threaded comment]
Your version of Excel allows you to read this threaded comment; however, any edits to it will get removed if the file is opened in a newer version of Excel. Learn more: https://go.microsoft.com/fwlink/?linkid=870924
Comment:
    Only the first episode of K. pneumoniae BSI was included. Also, missing data on medical records.</t>
      </text>
    </comment>
    <comment ref="FX5" authorId="0" shapeId="0" xr:uid="{E88C8290-A733-FB41-B1CD-0AECA3956F8B}">
      <text>
        <r>
          <rPr>
            <b/>
            <sz val="10"/>
            <color rgb="FF000000"/>
            <rFont val="Tahoma"/>
            <family val="2"/>
          </rPr>
          <t xml:space="preserve">
</t>
        </r>
        <r>
          <rPr>
            <b/>
            <sz val="10"/>
            <color rgb="FF000000"/>
            <rFont val="Tahoma"/>
            <family val="2"/>
          </rPr>
          <t xml:space="preserve">Twelve
</t>
        </r>
        <r>
          <rPr>
            <b/>
            <sz val="10"/>
            <color rgb="FF000000"/>
            <rFont val="Tahoma"/>
            <family val="2"/>
          </rPr>
          <t xml:space="preserve">were excluded for not fulfilling all of the criteria of a
</t>
        </r>
        <r>
          <rPr>
            <b/>
            <sz val="10"/>
            <color rgb="FF000000"/>
            <rFont val="Tahoma"/>
            <family val="2"/>
          </rPr>
          <t xml:space="preserve">10
</t>
        </r>
        <r>
          <rPr>
            <b/>
            <sz val="10"/>
            <color rgb="FF000000"/>
            <rFont val="Tahoma"/>
            <family val="2"/>
          </rPr>
          <t xml:space="preserve">Table 2. Distribution of vancomycin-resistant patients (cases) and vancomycin-susceptible patients (controls) per unit
</t>
        </r>
        <r>
          <rPr>
            <b/>
            <sz val="10"/>
            <color rgb="FF000000"/>
            <rFont val="Tahoma"/>
            <family val="2"/>
          </rPr>
          <t xml:space="preserve"> nosocomial bloodstream infection
</t>
        </r>
      </text>
    </comment>
    <comment ref="FZ5" authorId="0" shapeId="0" xr:uid="{73619813-DE8E-854C-B79E-55390F61A8C5}">
      <text>
        <r>
          <rPr>
            <b/>
            <sz val="9"/>
            <color rgb="FF000000"/>
            <rFont val="Calibri"/>
            <family val="2"/>
          </rPr>
          <t xml:space="preserve">
</t>
        </r>
        <r>
          <rPr>
            <b/>
            <sz val="9"/>
            <color rgb="FF000000"/>
            <rFont val="Calibri"/>
            <family val="2"/>
          </rPr>
          <t xml:space="preserve">The present study excluded any patients who were under 15 years old, acquired A. baumannii BSI from other hospitals or who had neither the clinical signs nor symptoms indicating BSI at the time the blood culture was taken.
</t>
        </r>
      </text>
    </comment>
    <comment ref="GB5" authorId="0" shapeId="0" xr:uid="{23E2A30A-1FCA-9446-AF23-55E13A443E17}">
      <text>
        <r>
          <rPr>
            <b/>
            <sz val="10"/>
            <color rgb="FF000000"/>
            <rFont val="Tahoma"/>
            <family val="2"/>
          </rPr>
          <t xml:space="preserve">
</t>
        </r>
        <r>
          <rPr>
            <b/>
            <sz val="10"/>
            <color rgb="FF000000"/>
            <rFont val="Tahoma"/>
            <family val="2"/>
          </rPr>
          <t xml:space="preserve">fig 1
</t>
        </r>
      </text>
    </comment>
    <comment ref="GF5" authorId="0" shapeId="0" xr:uid="{193F7D89-DC07-4B4A-AFB2-4EA28C7AE67C}">
      <text>
        <r>
          <rPr>
            <b/>
            <sz val="10"/>
            <color rgb="FF000000"/>
            <rFont val="Tahoma"/>
            <family val="2"/>
          </rPr>
          <t xml:space="preserve">
</t>
        </r>
        <r>
          <rPr>
            <b/>
            <sz val="10"/>
            <color rgb="FF000000"/>
            <rFont val="Tahoma"/>
            <family val="2"/>
          </rPr>
          <t xml:space="preserve">We excluded patients younger than 18years old, those with sepsis acquired in the community or asso- ciated with another healthcare institution, those who refused to sign the consent form and those suffering from polymicrobial sepsis by GNB and non GNB agents. In addition, we excluded patients initially en- rolled in the control or CS-GNB case group that evolved respectively with CS-GNB or CR-GNB infec- tion after discharge from ICU and during the follow- up period.
</t>
        </r>
      </text>
    </comment>
    <comment ref="GG5" authorId="0" shapeId="0" xr:uid="{89C5E2FB-914F-E64E-B59B-5DD192AF9E28}">
      <text>
        <r>
          <rPr>
            <b/>
            <sz val="10"/>
            <color rgb="FF000000"/>
            <rFont val="Tahoma"/>
            <family val="2"/>
          </rPr>
          <t xml:space="preserve">
</t>
        </r>
        <r>
          <rPr>
            <b/>
            <sz val="10"/>
            <color rgb="FF000000"/>
            <rFont val="Tahoma"/>
            <family val="2"/>
          </rPr>
          <t>excluded patients tranfered from different hospital or false bacteremia</t>
        </r>
      </text>
    </comment>
    <comment ref="GH5" authorId="0" shapeId="0" xr:uid="{863D7E92-578B-8141-B6C6-D0BF7C3555EC}">
      <text>
        <r>
          <rPr>
            <b/>
            <sz val="10"/>
            <color rgb="FF000000"/>
            <rFont val="Tahoma"/>
            <family val="2"/>
          </rPr>
          <t xml:space="preserve">
Patients who were the subjects of end-of-life decisions were excluded
</t>
        </r>
      </text>
    </comment>
    <comment ref="GI5" authorId="0" shapeId="0" xr:uid="{84AAE852-B88A-E240-8D1E-C192DEED3399}">
      <text>
        <r>
          <rPr>
            <b/>
            <sz val="10"/>
            <color rgb="FF000000"/>
            <rFont val="Tahoma"/>
            <family val="2"/>
          </rPr>
          <t xml:space="preserve">
Excluded from this group were patients with positive cultures for MRSA at another anatomic site, patients with no negative blood cultures, and patients treated empirically with vancomycin or fluoroquinolones for a period of more than 24h.
</t>
        </r>
      </text>
    </comment>
    <comment ref="GK5" authorId="0" shapeId="0" xr:uid="{669DD40F-56B1-4247-A7B6-B4B2352F9E3F}">
      <text>
        <r>
          <rPr>
            <b/>
            <sz val="10"/>
            <color rgb="FF000000"/>
            <rFont val="Tahoma"/>
            <family val="2"/>
          </rPr>
          <t xml:space="preserve">
</t>
        </r>
        <r>
          <rPr>
            <b/>
            <sz val="10"/>
            <color rgb="FF000000"/>
            <rFont val="Tahoma"/>
            <family val="2"/>
          </rPr>
          <t xml:space="preserve">We excluded patients who had previously been enrolled in the study and those not treated with curative intent at the time of bloodstream infection onset. 
</t>
        </r>
      </text>
    </comment>
    <comment ref="GM5" authorId="0" shapeId="0" xr:uid="{D9FE4FAD-A70E-804A-B173-B38492A7C061}">
      <text>
        <r>
          <rPr>
            <b/>
            <sz val="10"/>
            <color rgb="FF000000"/>
            <rFont val="Tahoma"/>
            <family val="2"/>
          </rPr>
          <t xml:space="preserve">
</t>
        </r>
        <r>
          <rPr>
            <b/>
            <sz val="10"/>
            <color rgb="FF000000"/>
            <rFont val="Tahoma"/>
            <family val="2"/>
          </rPr>
          <t xml:space="preserve">Cases of polymicrobial bacteraemia were excluded
</t>
        </r>
      </text>
    </comment>
    <comment ref="GO5" authorId="0" shapeId="0" xr:uid="{B0B688A3-8731-584B-B1E4-82A3FD1FF6C8}">
      <text>
        <r>
          <rPr>
            <b/>
            <sz val="10"/>
            <color rgb="FF000000"/>
            <rFont val="Tahoma"/>
            <family val="2"/>
          </rPr>
          <t xml:space="preserve">
</t>
        </r>
        <r>
          <rPr>
            <b/>
            <sz val="10"/>
            <color rgb="FF000000"/>
            <rFont val="Tahoma"/>
            <family val="2"/>
          </rPr>
          <t xml:space="preserve">Se excluyeron los pacientes que ingresaron al hospital con bacteriemias hos- pitalarias adquiridas en otra institución de salud diferente al Hospital Universitario San Ignacio.
</t>
        </r>
      </text>
    </comment>
    <comment ref="GP5" authorId="0" shapeId="0" xr:uid="{703E9D68-3FC9-884B-803F-71BBBD0E665C}">
      <text>
        <r>
          <rPr>
            <b/>
            <sz val="10"/>
            <color rgb="FF000000"/>
            <rFont val="Tahoma"/>
            <family val="2"/>
          </rPr>
          <t xml:space="preserve">
</t>
        </r>
        <r>
          <rPr>
            <b/>
            <sz val="10"/>
            <color rgb="FF000000"/>
            <rFont val="Tahoma"/>
            <family val="2"/>
          </rPr>
          <t xml:space="preserve">Patients from whom strains were isolated within the first 48 h of admission were excluded.
</t>
        </r>
      </text>
    </comment>
    <comment ref="GR5" authorId="0" shapeId="0" xr:uid="{A2502EF7-631A-7A4D-A18E-845988EB78A2}">
      <text>
        <r>
          <rPr>
            <b/>
            <sz val="10"/>
            <color rgb="FF000000"/>
            <rFont val="Tahoma"/>
            <family val="2"/>
          </rPr>
          <t xml:space="preserve">
</t>
        </r>
        <r>
          <rPr>
            <b/>
            <sz val="10"/>
            <color rgb="FF000000"/>
            <rFont val="Tahoma"/>
            <family val="2"/>
          </rPr>
          <t xml:space="preserve">atients who had histories of organ transplantations or hematopoietic stem cell transplantation before the BSI and who were aged less than 16 years were excluded
</t>
        </r>
      </text>
    </comment>
    <comment ref="GS5" authorId="19" shapeId="0" xr:uid="{0609811D-3B44-284D-A670-B1F0B27E6CF4}">
      <text>
        <t xml:space="preserve">[Threaded comment]
Your version of Excel allows you to read this threaded comment; however, any edits to it will get removed if the file is opened in a newer version of Excel. Learn more: https://go.microsoft.com/fwlink/?linkid=870924
Comment:
    P. aeruginosa detected in at least
one blood culture; clinical manifestations supporting a diagnosis
of BSI; and hospital cost and clinical data available both for com-
munity and hospital infections. Data for patients without adequate
clinical information and aged &lt;16 years were excluded. </t>
      </text>
    </comment>
    <comment ref="GV5" authorId="0" shapeId="0" xr:uid="{E4B285B6-7BB5-9A4C-8D4E-2C96ADB77FCB}">
      <text>
        <r>
          <rPr>
            <b/>
            <sz val="10"/>
            <color rgb="FF000000"/>
            <rFont val="Tahoma"/>
            <family val="2"/>
          </rPr>
          <t xml:space="preserve">
</t>
        </r>
        <r>
          <rPr>
            <b/>
            <sz val="10"/>
            <color rgb="FF000000"/>
            <rFont val="Tahoma"/>
            <family val="2"/>
          </rPr>
          <t xml:space="preserve">Patients with ESBL-producing Escherichia coli were excluded. Patients with polymicrobial bacteremia and under the age of 18 were also excluded from the study
</t>
        </r>
        <r>
          <rPr>
            <b/>
            <sz val="10"/>
            <color rgb="FF000000"/>
            <rFont val="Tahoma"/>
            <family val="2"/>
          </rPr>
          <t xml:space="preserve">
</t>
        </r>
      </text>
    </comment>
    <comment ref="GX5" authorId="0" shapeId="0" xr:uid="{95F8E788-584D-9440-AA28-9488C7A08C73}">
      <text>
        <r>
          <rPr>
            <b/>
            <sz val="10"/>
            <color rgb="FF000000"/>
            <rFont val="Tahoma"/>
            <family val="2"/>
          </rPr>
          <t xml:space="preserve">
</t>
        </r>
        <r>
          <rPr>
            <b/>
            <sz val="10"/>
            <color rgb="FF000000"/>
            <rFont val="Tahoma"/>
            <family val="2"/>
          </rPr>
          <t xml:space="preserve">Cases with incomplete medical records were excluded from the study
</t>
        </r>
      </text>
    </comment>
    <comment ref="GY5" authorId="0" shapeId="0" xr:uid="{1701BDF2-619E-1E40-90C8-393DC286A81D}">
      <text>
        <r>
          <rPr>
            <b/>
            <sz val="10"/>
            <color rgb="FF000000"/>
            <rFont val="Tahoma"/>
            <family val="2"/>
          </rPr>
          <t xml:space="preserve">
</t>
        </r>
        <r>
          <rPr>
            <b/>
            <sz val="10"/>
            <color rgb="FF000000"/>
            <rFont val="Tahoma"/>
            <family val="2"/>
          </rPr>
          <t xml:space="preserve">Patients with positive culture results considered to be due to contaminants as recorded in the case notes were excluded.
</t>
        </r>
      </text>
    </comment>
    <comment ref="GZ5" authorId="0" shapeId="0" xr:uid="{EB4BE914-19B9-F94A-A35B-D8F1AAA9969D}">
      <text>
        <r>
          <rPr>
            <b/>
            <sz val="10"/>
            <color rgb="FF000000"/>
            <rFont val="Tahoma"/>
            <family val="2"/>
          </rPr>
          <t xml:space="preserve">
</t>
        </r>
        <r>
          <rPr>
            <b/>
            <sz val="10"/>
            <color rgb="FF000000"/>
            <rFont val="Tahoma"/>
            <family val="2"/>
          </rPr>
          <t>exclusion &lt;1 year</t>
        </r>
      </text>
    </comment>
    <comment ref="HA5" authorId="20" shapeId="0" xr:uid="{71CBF8FD-B30B-1B4E-A64A-A61C8C49BF14}">
      <text>
        <t>[Threaded comment]
Your version of Excel allows you to read this threaded comment; however, any edits to it will get removed if the file is opened in a newer version of Excel. Learn more: https://go.microsoft.com/fwlink/?linkid=870924
Comment:
    If the same patient had more than two episodes of Enterobacteriaceae bacteremia within 6 months, this study only included the first bloodstream infection data. Only patients with complete clinical microbiological and cost data for analysis were included in this study.</t>
      </text>
    </comment>
    <comment ref="W11" authorId="0" shapeId="0" xr:uid="{A084A23F-0011-9A40-9F53-EFA5C9B40091}">
      <text>
        <r>
          <rPr>
            <b/>
            <sz val="10"/>
            <color rgb="FF000000"/>
            <rFont val="Tahoma"/>
            <family val="2"/>
          </rPr>
          <t xml:space="preserve">
</t>
        </r>
      </text>
    </comment>
    <comment ref="AO11" authorId="0" shapeId="0" xr:uid="{2199C533-0FC8-3B42-97D8-7B16F93EEDD7}">
      <text>
        <r>
          <rPr>
            <b/>
            <sz val="10"/>
            <color rgb="FF000000"/>
            <rFont val="Tahoma"/>
            <family val="2"/>
          </rPr>
          <t xml:space="preserve">
prospective study</t>
        </r>
      </text>
    </comment>
    <comment ref="AW11" authorId="0" shapeId="0" xr:uid="{4AAF31DA-EC5B-104F-9146-9C6E371124A1}">
      <text>
        <r>
          <rPr>
            <b/>
            <sz val="10"/>
            <color rgb="FF000000"/>
            <rFont val="Tahoma"/>
            <family val="2"/>
          </rPr>
          <t xml:space="preserve">
prospective study</t>
        </r>
      </text>
    </comment>
    <comment ref="BJ11" authorId="0" shapeId="0" xr:uid="{41BBD376-B487-BA41-9596-007E9ACF5458}">
      <text>
        <r>
          <rPr>
            <b/>
            <sz val="10"/>
            <color rgb="FF000000"/>
            <rFont val="Tahoma"/>
            <family val="2"/>
          </rPr>
          <t xml:space="preserve">
prospective study</t>
        </r>
      </text>
    </comment>
    <comment ref="BO11" authorId="0" shapeId="0" xr:uid="{B19D3F19-B76F-1D44-817A-5AEB57C35443}">
      <text>
        <r>
          <rPr>
            <b/>
            <sz val="10"/>
            <color rgb="FF000000"/>
            <rFont val="Tahoma"/>
            <family val="2"/>
          </rPr>
          <t xml:space="preserve">
</t>
        </r>
        <r>
          <rPr>
            <b/>
            <sz val="10"/>
            <color rgb="FF000000"/>
            <rFont val="Tahoma"/>
            <family val="2"/>
          </rPr>
          <t xml:space="preserve">prospective study
</t>
        </r>
      </text>
    </comment>
    <comment ref="BP11" authorId="0" shapeId="0" xr:uid="{1649DBE8-D8A0-D14A-ABDE-A88075140A66}">
      <text>
        <r>
          <rPr>
            <b/>
            <sz val="10"/>
            <color rgb="FF000000"/>
            <rFont val="Tahoma"/>
            <family val="2"/>
          </rPr>
          <t xml:space="preserve">
prospective study + retrospective study</t>
        </r>
      </text>
    </comment>
    <comment ref="BQ11" authorId="0" shapeId="0" xr:uid="{D675CAA9-DF52-5D45-972D-E8E4F76125A4}">
      <text>
        <r>
          <rPr>
            <b/>
            <sz val="10"/>
            <color rgb="FF000000"/>
            <rFont val="Tahoma"/>
            <family val="2"/>
          </rPr>
          <t xml:space="preserve">
prospective study</t>
        </r>
      </text>
    </comment>
    <comment ref="BR11" authorId="0" shapeId="0" xr:uid="{A7E619A1-0A1A-CB4C-8469-DC4266B56385}">
      <text>
        <r>
          <rPr>
            <b/>
            <sz val="10"/>
            <color rgb="FF000000"/>
            <rFont val="Tahoma"/>
            <family val="2"/>
          </rPr>
          <t xml:space="preserve">
prospective study</t>
        </r>
      </text>
    </comment>
    <comment ref="BT11" authorId="0" shapeId="0" xr:uid="{3D6448D3-2AA5-2A48-9E8D-44B2586E94A1}">
      <text>
        <r>
          <rPr>
            <b/>
            <sz val="10"/>
            <color rgb="FF000000"/>
            <rFont val="Tahoma"/>
            <family val="2"/>
          </rPr>
          <t xml:space="preserve">
</t>
        </r>
        <r>
          <rPr>
            <b/>
            <sz val="10"/>
            <color rgb="FF000000"/>
            <rFont val="Tahoma"/>
            <family val="2"/>
          </rPr>
          <t>prospective study</t>
        </r>
      </text>
    </comment>
    <comment ref="BV11" authorId="0" shapeId="0" xr:uid="{D90779E9-866C-EA40-9836-E63D97F14428}">
      <text>
        <r>
          <rPr>
            <b/>
            <sz val="10"/>
            <color rgb="FF000000"/>
            <rFont val="Tahoma"/>
            <family val="2"/>
          </rPr>
          <t xml:space="preserve">
</t>
        </r>
        <r>
          <rPr>
            <b/>
            <sz val="10"/>
            <color rgb="FF000000"/>
            <rFont val="Tahoma"/>
            <family val="2"/>
          </rPr>
          <t xml:space="preserve">prospective study
</t>
        </r>
      </text>
    </comment>
    <comment ref="BW11" authorId="0" shapeId="0" xr:uid="{C67EF1CD-4506-9C44-8692-94B536DB9C2F}">
      <text>
        <r>
          <rPr>
            <b/>
            <sz val="10"/>
            <color rgb="FF000000"/>
            <rFont val="Tahoma"/>
            <family val="2"/>
          </rPr>
          <t xml:space="preserve">
prospective study</t>
        </r>
      </text>
    </comment>
    <comment ref="BX11" authorId="0" shapeId="0" xr:uid="{98F29035-D813-4A4C-A78D-3666E20149FB}">
      <text>
        <r>
          <rPr>
            <b/>
            <sz val="10"/>
            <color rgb="FF000000"/>
            <rFont val="Tahoma"/>
            <family val="2"/>
          </rPr>
          <t xml:space="preserve">
prospective study</t>
        </r>
      </text>
    </comment>
    <comment ref="CP11" authorId="0" shapeId="0" xr:uid="{3548CA50-C8CA-FA47-9257-083011C9977B}">
      <text>
        <r>
          <rPr>
            <b/>
            <sz val="10"/>
            <color rgb="FF000000"/>
            <rFont val="Tahoma"/>
            <family val="2"/>
          </rPr>
          <t xml:space="preserve">
prospective study</t>
        </r>
      </text>
    </comment>
    <comment ref="EE11" authorId="0" shapeId="0" xr:uid="{8EAAE1FD-7A57-EC41-8888-E4DF47F78A56}">
      <text>
        <r>
          <rPr>
            <b/>
            <sz val="10"/>
            <color rgb="FF000000"/>
            <rFont val="Tahoma"/>
            <family val="2"/>
          </rPr>
          <t xml:space="preserve">
prospective study</t>
        </r>
      </text>
    </comment>
    <comment ref="EQ11" authorId="0" shapeId="0" xr:uid="{39701909-F36F-254F-A7A6-FCA36089A8D0}">
      <text>
        <r>
          <rPr>
            <b/>
            <sz val="10"/>
            <color rgb="FF000000"/>
            <rFont val="Tahoma"/>
            <family val="2"/>
          </rPr>
          <t xml:space="preserve">
prospective study
</t>
        </r>
      </text>
    </comment>
    <comment ref="ER11" authorId="0" shapeId="0" xr:uid="{9EB5C9B8-1F1D-4B4E-8507-322E3D640CA9}">
      <text>
        <r>
          <rPr>
            <b/>
            <sz val="10"/>
            <color rgb="FF000000"/>
            <rFont val="Tahoma"/>
            <family val="2"/>
          </rPr>
          <t xml:space="preserve">
prospective study</t>
        </r>
      </text>
    </comment>
    <comment ref="GF11" authorId="0" shapeId="0" xr:uid="{7E80C1CF-0A2C-6E40-9B44-11E01AFA5520}">
      <text>
        <r>
          <rPr>
            <b/>
            <sz val="10"/>
            <color rgb="FF000000"/>
            <rFont val="Tahoma"/>
            <family val="2"/>
          </rPr>
          <t xml:space="preserve">
prospective study</t>
        </r>
      </text>
    </comment>
    <comment ref="GG11" authorId="0" shapeId="0" xr:uid="{0A6F806E-6E12-6B4F-8F54-B45610672B0D}">
      <text>
        <r>
          <rPr>
            <b/>
            <sz val="10"/>
            <color rgb="FF000000"/>
            <rFont val="Tahoma"/>
            <family val="2"/>
          </rPr>
          <t xml:space="preserve">
prospective study</t>
        </r>
      </text>
    </comment>
    <comment ref="GJ11" authorId="0" shapeId="0" xr:uid="{3CE3E47D-ABF2-DA4F-8C13-BFE80407A735}">
      <text>
        <r>
          <rPr>
            <b/>
            <sz val="10"/>
            <color rgb="FF000000"/>
            <rFont val="Tahoma"/>
            <family val="2"/>
          </rPr>
          <t xml:space="preserve">
prospective study
</t>
        </r>
      </text>
    </comment>
    <comment ref="GK11" authorId="0" shapeId="0" xr:uid="{D77A0EA4-D9C2-4543-BFB1-FAFE32D2710A}">
      <text>
        <r>
          <rPr>
            <b/>
            <sz val="10"/>
            <color rgb="FF000000"/>
            <rFont val="Tahoma"/>
            <family val="2"/>
          </rPr>
          <t xml:space="preserve">
prospective study</t>
        </r>
      </text>
    </comment>
    <comment ref="AL14" authorId="0" shapeId="0" xr:uid="{33114719-554F-E343-A83C-AF2803A8A83E}">
      <text>
        <r>
          <rPr>
            <b/>
            <sz val="10"/>
            <color rgb="FF000000"/>
            <rFont val="Tahoma"/>
            <family val="2"/>
          </rPr>
          <t xml:space="preserve">
cancer referal center</t>
        </r>
      </text>
    </comment>
    <comment ref="AO14" authorId="0" shapeId="0" xr:uid="{D2CD4643-6084-8A41-9438-AB17240B583B}">
      <text>
        <r>
          <rPr>
            <b/>
            <sz val="10"/>
            <color rgb="FF000000"/>
            <rFont val="Tahoma"/>
            <family val="2"/>
          </rPr>
          <t xml:space="preserve">
urology and renal hospital 
</t>
        </r>
      </text>
    </comment>
    <comment ref="AY14" authorId="0" shapeId="0" xr:uid="{5922F1D8-158A-0743-AA46-808603113F08}">
      <text>
        <r>
          <rPr>
            <b/>
            <sz val="10"/>
            <color rgb="FF000000"/>
            <rFont val="Tahoma"/>
            <family val="2"/>
          </rPr>
          <t xml:space="preserve">
oncohemology patients</t>
        </r>
      </text>
    </comment>
    <comment ref="BE14" authorId="0" shapeId="0" xr:uid="{4F0BC924-5215-8C4A-9200-AEC0B924DE55}">
      <text>
        <r>
          <rPr>
            <b/>
            <sz val="10"/>
            <color rgb="FF000000"/>
            <rFont val="Tahoma"/>
            <family val="2"/>
          </rPr>
          <t xml:space="preserve">
hematological center</t>
        </r>
      </text>
    </comment>
    <comment ref="BI14" authorId="0" shapeId="0" xr:uid="{B68EFC15-F87C-9746-AA2C-41635FEF876B}">
      <text>
        <r>
          <rPr>
            <b/>
            <sz val="10"/>
            <color rgb="FF000000"/>
            <rFont val="Tahoma"/>
            <family val="2"/>
          </rPr>
          <t xml:space="preserve">
cancer patients</t>
        </r>
      </text>
    </comment>
    <comment ref="BR14" authorId="0" shapeId="0" xr:uid="{3193EB81-C08C-AF49-94FE-D4410CEBE957}">
      <text>
        <r>
          <rPr>
            <b/>
            <sz val="10"/>
            <color rgb="FF000000"/>
            <rFont val="Tahoma"/>
            <family val="2"/>
          </rPr>
          <t xml:space="preserve">
</t>
        </r>
        <r>
          <rPr>
            <b/>
            <sz val="10"/>
            <color rgb="FF000000"/>
            <rFont val="Tahoma"/>
            <family val="2"/>
          </rPr>
          <t>all patients has liver transplant</t>
        </r>
      </text>
    </comment>
    <comment ref="BY14" authorId="21" shapeId="0" xr:uid="{10172B71-C7D5-8E44-8B9E-949295900620}">
      <text>
        <t>[Threaded comment]
Your version of Excel allows you to read this threaded comment; however, any edits to it will get removed if the file is opened in a newer version of Excel. Learn more: https://go.microsoft.com/fwlink/?linkid=870924
Comment:
    Patients with 
hematologic malignancies</t>
      </text>
    </comment>
    <comment ref="CC14" authorId="0" shapeId="0" xr:uid="{D2A8F17A-9906-9746-91EB-46FF78EBE5C3}">
      <text>
        <r>
          <rPr>
            <b/>
            <sz val="10"/>
            <color rgb="FF000000"/>
            <rFont val="Tahoma"/>
            <family val="2"/>
          </rPr>
          <t xml:space="preserve">
liver cirrosis patients</t>
        </r>
      </text>
    </comment>
    <comment ref="CL14" authorId="0" shapeId="0" xr:uid="{92562DD1-8207-8E44-A830-5B6DB728B1FB}">
      <text>
        <r>
          <rPr>
            <b/>
            <sz val="10"/>
            <color rgb="FF000000"/>
            <rFont val="Tahoma"/>
            <family val="2"/>
          </rPr>
          <t xml:space="preserve">
 inpatients with liver cirrhosis
</t>
        </r>
      </text>
    </comment>
    <comment ref="CS14" authorId="0" shapeId="0" xr:uid="{869DF106-207A-884F-AE86-A786CEFC74F8}">
      <text>
        <r>
          <rPr>
            <b/>
            <sz val="10"/>
            <color rgb="FF000000"/>
            <rFont val="Tahoma"/>
            <family val="2"/>
          </rPr>
          <t xml:space="preserve">
cancer patients</t>
        </r>
      </text>
    </comment>
    <comment ref="CT14" authorId="0" shapeId="0" xr:uid="{3E4A53A6-B036-D44E-9B55-F741F8B28B81}">
      <text>
        <r>
          <rPr>
            <b/>
            <sz val="10"/>
            <color rgb="FF000000"/>
            <rFont val="Tahoma"/>
            <family val="2"/>
          </rPr>
          <t xml:space="preserve">
cancer patients</t>
        </r>
      </text>
    </comment>
    <comment ref="DX14" authorId="0" shapeId="0" xr:uid="{B270C14A-A7B8-F147-9954-4C1C9C1CEC33}">
      <text>
        <r>
          <rPr>
            <b/>
            <sz val="10"/>
            <color rgb="FF000000"/>
            <rFont val="Tahoma"/>
            <family val="2"/>
          </rPr>
          <t xml:space="preserve">
outcome is develop of bacteremia and is the same of elegibility</t>
        </r>
      </text>
    </comment>
    <comment ref="EE14" authorId="0" shapeId="0" xr:uid="{4EBE658A-3D82-C54C-84E0-2A5ED56C4D36}">
      <text>
        <r>
          <rPr>
            <b/>
            <sz val="10"/>
            <color rgb="FF000000"/>
            <rFont val="Tahoma"/>
            <family val="2"/>
          </rPr>
          <t xml:space="preserve">
urology and renal hospital 
</t>
        </r>
      </text>
    </comment>
    <comment ref="ET14" authorId="0" shapeId="0" xr:uid="{BC7EB815-4B20-7F4B-8139-FE802621C0AB}">
      <text>
        <r>
          <rPr>
            <b/>
            <sz val="10"/>
            <color rgb="FF000000"/>
            <rFont val="Tahoma"/>
            <family val="2"/>
          </rPr>
          <t xml:space="preserve">
liver cirrosis patients</t>
        </r>
      </text>
    </comment>
    <comment ref="EY14" authorId="0" shapeId="0" xr:uid="{6E152450-1E8A-4A4F-9654-B55605B03DCA}">
      <text>
        <r>
          <rPr>
            <b/>
            <sz val="10"/>
            <color rgb="FF000000"/>
            <rFont val="Tahoma"/>
            <family val="2"/>
          </rPr>
          <t xml:space="preserve">
 inpatients with liver cirrhosis
</t>
        </r>
      </text>
    </comment>
    <comment ref="EZ14" authorId="0" shapeId="0" xr:uid="{E779447C-8340-434D-B770-146A72255DA1}">
      <text>
        <r>
          <rPr>
            <b/>
            <sz val="10"/>
            <color rgb="FF000000"/>
            <rFont val="Tahoma"/>
            <family val="2"/>
          </rPr>
          <t xml:space="preserve">
patients with cancer</t>
        </r>
      </text>
    </comment>
    <comment ref="FE14" authorId="0" shapeId="0" xr:uid="{23CF26C4-CE37-1E40-A692-C13D03C225AE}">
      <text>
        <r>
          <rPr>
            <b/>
            <sz val="10"/>
            <color rgb="FF000000"/>
            <rFont val="Tahoma"/>
            <family val="2"/>
          </rPr>
          <t xml:space="preserve">
cancer patients</t>
        </r>
      </text>
    </comment>
    <comment ref="GN14" authorId="0" shapeId="0" xr:uid="{827242A0-10BC-5E4D-8EC2-54EFB258FCCD}">
      <text>
        <r>
          <rPr>
            <b/>
            <sz val="10"/>
            <color rgb="FF000000"/>
            <rFont val="Tahoma"/>
            <family val="2"/>
          </rPr>
          <t xml:space="preserve">
liver cirrosis patients</t>
        </r>
      </text>
    </comment>
    <comment ref="GV14" authorId="0" shapeId="0" xr:uid="{96C7A781-FDAA-B848-9259-2AF9393A12D2}">
      <text>
        <r>
          <rPr>
            <b/>
            <sz val="10"/>
            <color rgb="FF000000"/>
            <rFont val="Tahoma"/>
            <family val="2"/>
          </rPr>
          <t xml:space="preserve">
</t>
        </r>
        <r>
          <rPr>
            <b/>
            <sz val="10"/>
            <color rgb="FF000000"/>
            <rFont val="Tahoma"/>
            <family val="2"/>
          </rPr>
          <t>cancer patients</t>
        </r>
      </text>
    </comment>
    <comment ref="H18" authorId="22" shapeId="0" xr:uid="{33F8DF47-4045-2540-8883-ED5B9C5638EE}">
      <text>
        <t>[Threaded comment]
Your version of Excel allows you to read this threaded comment; however, any edits to it will get removed if the file is opened in a newer version of Excel. Learn more: https://go.microsoft.com/fwlink/?linkid=870924
Comment:
    Exclusion was 18%, hence less than 20%</t>
      </text>
    </comment>
    <comment ref="P18" authorId="23" shapeId="0" xr:uid="{31614964-8731-B24C-B15D-D0B000A61277}">
      <text>
        <t>[Threaded comment]
Your version of Excel allows you to read this threaded comment; however, any edits to it will get removed if the file is opened in a newer version of Excel. Learn more: https://go.microsoft.com/fwlink/?linkid=870924
Comment:
    154/365</t>
      </text>
    </comment>
    <comment ref="AH18" authorId="0" shapeId="0" xr:uid="{47CAA625-E58C-1F4B-9148-6749833E667D}">
      <text>
        <r>
          <rPr>
            <b/>
            <sz val="10"/>
            <color rgb="FF000000"/>
            <rFont val="Tahoma"/>
            <family val="2"/>
          </rPr>
          <t xml:space="preserve">
</t>
        </r>
        <r>
          <rPr>
            <b/>
            <sz val="10"/>
            <color rgb="FF000000"/>
            <rFont val="Tahoma"/>
            <family val="2"/>
          </rPr>
          <t>Selection of 164 patients from 233</t>
        </r>
      </text>
    </comment>
    <comment ref="AI18" authorId="0" shapeId="0" xr:uid="{4E6223D0-BFDA-F94A-9C4F-226E35973932}">
      <text>
        <r>
          <rPr>
            <b/>
            <sz val="10"/>
            <color rgb="FF000000"/>
            <rFont val="Tahoma"/>
            <family val="2"/>
          </rPr>
          <t xml:space="preserve">
Selection of 164 patients from 233</t>
        </r>
      </text>
    </comment>
    <comment ref="AP18" authorId="0" shapeId="0" xr:uid="{6C0A1455-CCB3-2149-A320-096C9CC161FC}">
      <text>
        <r>
          <rPr>
            <b/>
            <sz val="10"/>
            <color rgb="FF000000"/>
            <rFont val="Tahoma"/>
            <family val="2"/>
          </rPr>
          <t xml:space="preserve">
40/65</t>
        </r>
      </text>
    </comment>
    <comment ref="AR18" authorId="0" shapeId="0" xr:uid="{72005D33-57C3-5349-AF73-EFFD20D05751}">
      <text>
        <r>
          <rPr>
            <b/>
            <sz val="10"/>
            <color rgb="FF000000"/>
            <rFont val="Tahoma"/>
            <family val="2"/>
          </rPr>
          <t xml:space="preserve">
fig 1</t>
        </r>
      </text>
    </comment>
    <comment ref="CT18" authorId="0" shapeId="0" xr:uid="{7A3C2BB2-FB0C-4240-AC2B-B0E42588A83D}">
      <text>
        <r>
          <rPr>
            <b/>
            <sz val="10"/>
            <color rgb="FF000000"/>
            <rFont val="Tahoma"/>
            <family val="2"/>
          </rPr>
          <t xml:space="preserve">
excluded 77/325 (24%)</t>
        </r>
      </text>
    </comment>
    <comment ref="CZ18" authorId="0" shapeId="0" xr:uid="{FB4B3009-3851-BF4F-92D8-0445D552B268}">
      <text>
        <r>
          <rPr>
            <b/>
            <sz val="10"/>
            <color rgb="FF000000"/>
            <rFont val="Tahoma"/>
            <family val="2"/>
          </rPr>
          <t xml:space="preserve">
included 33 from 48</t>
        </r>
      </text>
    </comment>
    <comment ref="DK18" authorId="24" shapeId="0" xr:uid="{37B4F324-3AAA-7040-8276-F6DCDED59D16}">
      <text>
        <t>[Threaded comment]
Your version of Excel allows you to read this threaded comment; however, any edits to it will get removed if the file is opened in a newer version of Excel. Learn more: https://go.microsoft.com/fwlink/?linkid=870924
Comment:
    Exclusion was 18%, hence less than 20%</t>
      </text>
    </comment>
    <comment ref="DS18" authorId="25" shapeId="0" xr:uid="{0FAD830B-C15A-2D4D-9520-45C936EAAFB1}">
      <text>
        <t>[Threaded comment]
Your version of Excel allows you to read this threaded comment; however, any edits to it will get removed if the file is opened in a newer version of Excel. Learn more: https://go.microsoft.com/fwlink/?linkid=870924
Comment:
    154/365</t>
      </text>
    </comment>
    <comment ref="EF18" authorId="0" shapeId="0" xr:uid="{D56CB1CE-E530-5845-8A3F-DA3D6089E803}">
      <text>
        <r>
          <rPr>
            <b/>
            <sz val="10"/>
            <color rgb="FF000000"/>
            <rFont val="Tahoma"/>
            <family val="2"/>
          </rPr>
          <t xml:space="preserve">
40/65</t>
        </r>
      </text>
    </comment>
    <comment ref="FE18" authorId="0" shapeId="0" xr:uid="{32C95170-2F97-7E48-91DF-66E5050E3428}">
      <text>
        <r>
          <rPr>
            <b/>
            <sz val="10"/>
            <color rgb="FF000000"/>
            <rFont val="Tahoma"/>
            <family val="2"/>
          </rPr>
          <t xml:space="preserve">
excluded 77/325 (24%)</t>
        </r>
      </text>
    </comment>
    <comment ref="FN18" authorId="26" shapeId="0" xr:uid="{414DFD1D-8C92-E946-ABF8-C13C31939C00}">
      <text>
        <t>[Threaded comment]
Your version of Excel allows you to read this threaded comment; however, any edits to it will get removed if the file is opened in a newer version of Excel. Learn more: https://go.microsoft.com/fwlink/?linkid=870924
Comment:
    Exclusion was 18%, hence less than 20%</t>
      </text>
    </comment>
    <comment ref="GA18" authorId="0" shapeId="0" xr:uid="{5D24DA4D-06EA-9440-9D65-3C3DCFC21F2C}">
      <text>
        <r>
          <rPr>
            <b/>
            <sz val="10"/>
            <color rgb="FF000000"/>
            <rFont val="Tahoma"/>
            <family val="2"/>
          </rPr>
          <t xml:space="preserve">
40/65</t>
        </r>
      </text>
    </comment>
    <comment ref="GB18" authorId="0" shapeId="0" xr:uid="{109B8F2C-A646-BF48-8BBC-E49BA47A8A9D}">
      <text>
        <r>
          <rPr>
            <b/>
            <sz val="10"/>
            <color rgb="FF000000"/>
            <rFont val="Tahoma"/>
            <family val="2"/>
          </rPr>
          <t xml:space="preserve">
</t>
        </r>
        <r>
          <rPr>
            <b/>
            <sz val="10"/>
            <color rgb="FF000000"/>
            <rFont val="Tahoma"/>
            <family val="2"/>
          </rPr>
          <t>fig 1</t>
        </r>
      </text>
    </comment>
    <comment ref="GV18" authorId="0" shapeId="0" xr:uid="{791AD928-EF2D-6E40-85B1-746531181158}">
      <text>
        <r>
          <rPr>
            <b/>
            <sz val="10"/>
            <color rgb="FF000000"/>
            <rFont val="Tahoma"/>
            <family val="2"/>
          </rPr>
          <t xml:space="preserve">
</t>
        </r>
        <r>
          <rPr>
            <b/>
            <sz val="10"/>
            <color rgb="FF000000"/>
            <rFont val="Tahoma"/>
            <family val="2"/>
          </rPr>
          <t>excluded 77/325 (24%)</t>
        </r>
      </text>
    </comment>
    <comment ref="GX18" authorId="0" shapeId="0" xr:uid="{44D60954-1A03-B14B-B358-6C7EFE86F0CA}">
      <text>
        <r>
          <rPr>
            <b/>
            <sz val="10"/>
            <color rgb="FF000000"/>
            <rFont val="Tahoma"/>
            <family val="2"/>
          </rPr>
          <t xml:space="preserve">
included 33 from 48</t>
        </r>
      </text>
    </comment>
    <comment ref="BW21" authorId="0" shapeId="0" xr:uid="{DB288FA5-C42C-0C41-B741-B4C397C2A846}">
      <text>
        <r>
          <rPr>
            <b/>
            <sz val="10"/>
            <color rgb="FF000000"/>
            <rFont val="Tahoma"/>
            <family val="2"/>
          </rPr>
          <t xml:space="preserve">
missing data in education about 25-28% for group</t>
        </r>
      </text>
    </comment>
    <comment ref="ER21" authorId="0" shapeId="0" xr:uid="{91936BB0-5B5A-3546-8C6A-6A4626F2C776}">
      <text>
        <r>
          <rPr>
            <b/>
            <sz val="10"/>
            <color rgb="FF000000"/>
            <rFont val="Tahoma"/>
            <family val="2"/>
          </rPr>
          <t xml:space="preserve">
missing data in education about 25-28% for group</t>
        </r>
      </text>
    </comment>
    <comment ref="GK21" authorId="0" shapeId="0" xr:uid="{4FBC6B0A-A200-0D4F-A4F6-C6CEA055FEF5}">
      <text>
        <r>
          <rPr>
            <b/>
            <sz val="10"/>
            <color rgb="FF000000"/>
            <rFont val="Tahoma"/>
            <family val="2"/>
          </rPr>
          <t xml:space="preserve">
missing data in education about 25-28% for group</t>
        </r>
      </text>
    </comment>
    <comment ref="DX52" authorId="0" shapeId="0" xr:uid="{7128E405-11D9-824E-AF9F-F8875949D926}">
      <text>
        <r>
          <rPr>
            <b/>
            <sz val="10"/>
            <color rgb="FF000000"/>
            <rFont val="Tahoma"/>
            <family val="2"/>
          </rPr>
          <t xml:space="preserve">
outcome was type of bacteremia, and analyst are blinded</t>
        </r>
      </text>
    </comment>
    <comment ref="S56" authorId="0" shapeId="0" xr:uid="{7EE84806-72D3-DF49-9340-6727041ACA85}">
      <text>
        <r>
          <rPr>
            <b/>
            <sz val="10"/>
            <color rgb="FF000000"/>
            <rFont val="Tahoma"/>
            <family val="2"/>
          </rPr>
          <t xml:space="preserve">
</t>
        </r>
        <r>
          <rPr>
            <b/>
            <sz val="10"/>
            <color rgb="FF000000"/>
            <rFont val="Tahoma"/>
            <family val="2"/>
          </rPr>
          <t>Diference in the antibiotic consumption</t>
        </r>
      </text>
    </comment>
    <comment ref="T56" authorId="0" shapeId="0" xr:uid="{B54CF3FC-B917-1C40-AF41-48501CCCD9FF}">
      <text>
        <r>
          <rPr>
            <b/>
            <sz val="10"/>
            <color rgb="FF000000"/>
            <rFont val="Tahoma"/>
            <family val="2"/>
          </rPr>
          <t xml:space="preserve">
</t>
        </r>
        <r>
          <rPr>
            <b/>
            <sz val="10"/>
            <color rgb="FF000000"/>
            <rFont val="Tahoma"/>
            <family val="2"/>
          </rPr>
          <t>Diference in the antibiotic consumption</t>
        </r>
      </text>
    </comment>
    <comment ref="FR56" authorId="0" shapeId="0" xr:uid="{2A52346C-05F4-1A44-A3B9-40956A3497DC}">
      <text>
        <r>
          <rPr>
            <b/>
            <sz val="10"/>
            <color rgb="FF000000"/>
            <rFont val="Tahoma"/>
            <family val="2"/>
          </rPr>
          <t xml:space="preserve">
</t>
        </r>
        <r>
          <rPr>
            <b/>
            <sz val="10"/>
            <color rgb="FF000000"/>
            <rFont val="Tahoma"/>
            <family val="2"/>
          </rPr>
          <t>Diference in the antibiotic consumption</t>
        </r>
      </text>
    </comment>
    <comment ref="FS56" authorId="0" shapeId="0" xr:uid="{56D42E26-5CC6-9E4E-8ADB-6EE2C9802754}">
      <text>
        <r>
          <rPr>
            <b/>
            <sz val="10"/>
            <color rgb="FF000000"/>
            <rFont val="Tahoma"/>
            <family val="2"/>
          </rPr>
          <t xml:space="preserve">
</t>
        </r>
        <r>
          <rPr>
            <b/>
            <sz val="10"/>
            <color rgb="FF000000"/>
            <rFont val="Tahoma"/>
            <family val="2"/>
          </rPr>
          <t>Diference in the antibiotic consumption</t>
        </r>
      </text>
    </comment>
    <comment ref="S59" authorId="0" shapeId="0" xr:uid="{A835415B-B0D6-8F46-A195-8A52FCB89D81}">
      <text>
        <r>
          <rPr>
            <b/>
            <sz val="10"/>
            <color rgb="FF000000"/>
            <rFont val="Tahoma"/>
            <family val="2"/>
          </rPr>
          <t xml:space="preserve">
si no hay co-intervention entonces se debe colocar 0 o en realidad debería ser 1.</t>
        </r>
      </text>
    </comment>
    <comment ref="T59" authorId="0" shapeId="0" xr:uid="{9B7A5311-7BFA-8845-AD1B-6FD6D6E0C9BC}">
      <text>
        <r>
          <rPr>
            <b/>
            <sz val="10"/>
            <color rgb="FF000000"/>
            <rFont val="Tahoma"/>
            <family val="2"/>
          </rPr>
          <t xml:space="preserve">
si no hay co-intervention entonces se debe colocar 0 o en realidad debería ser 1.</t>
        </r>
      </text>
    </comment>
    <comment ref="DX59" authorId="0" shapeId="0" xr:uid="{5066FC57-D989-F149-8DA4-ABC4A4B931F0}">
      <text>
        <r>
          <rPr>
            <b/>
            <sz val="10"/>
            <color rgb="FF000000"/>
            <rFont val="Tahoma"/>
            <family val="2"/>
          </rPr>
          <t xml:space="preserve">
no conintervention</t>
        </r>
      </text>
    </comment>
    <comment ref="H65" authorId="27" shapeId="0" xr:uid="{17043CB2-D637-6E4F-888B-29574387653A}">
      <text>
        <t>[Threaded comment]
Your version of Excel allows you to read this threaded comment; however, any edits to it will get removed if the file is opened in a newer version of Excel. Learn more: https://go.microsoft.com/fwlink/?linkid=870924
Comment:
    No significant variation for historical ATB consumption between groups</t>
      </text>
    </comment>
    <comment ref="S65" authorId="0" shapeId="0" xr:uid="{B9FC3F9B-9E20-9841-A01B-3FFF14ABC069}">
      <text>
        <r>
          <rPr>
            <b/>
            <sz val="10"/>
            <color rgb="FF000000"/>
            <rFont val="Tahoma"/>
            <family val="2"/>
          </rPr>
          <t xml:space="preserve">
</t>
        </r>
        <r>
          <rPr>
            <b/>
            <sz val="10"/>
            <color rgb="FF000000"/>
            <rFont val="Tahoma"/>
            <family val="2"/>
          </rPr>
          <t>por qué dice que no está presente, si la intervención (Presencia de AMR) es consistente (como definición de los grupos</t>
        </r>
      </text>
    </comment>
    <comment ref="T65" authorId="0" shapeId="0" xr:uid="{AF023846-DCEF-0440-8354-D8DA571D64EF}">
      <text>
        <r>
          <rPr>
            <b/>
            <sz val="10"/>
            <color rgb="FF000000"/>
            <rFont val="Tahoma"/>
            <family val="2"/>
          </rPr>
          <t xml:space="preserve">
por qué dice que no está presente, si la intervención (Presencia de AMR) es consistente (como definición de los grupos</t>
        </r>
      </text>
    </comment>
    <comment ref="V65" authorId="0" shapeId="0" xr:uid="{61A99C3B-916A-FF43-88C3-0529D09EF2CC}">
      <text>
        <r>
          <rPr>
            <b/>
            <sz val="10"/>
            <color rgb="FF000000"/>
            <rFont val="Tahoma"/>
            <family val="2"/>
          </rPr>
          <t xml:space="preserve">
change in the therapy after 48 hrs if was not adequate (table 3)</t>
        </r>
      </text>
    </comment>
    <comment ref="DK65" authorId="28" shapeId="0" xr:uid="{E17DB3CC-78E1-CB46-92CF-9BD5D556872C}">
      <text>
        <t>[Threaded comment]
Your version of Excel allows you to read this threaded comment; however, any edits to it will get removed if the file is opened in a newer version of Excel. Learn more: https://go.microsoft.com/fwlink/?linkid=870924
Comment:
    No significant variation for historical ATB consumption between groups</t>
      </text>
    </comment>
    <comment ref="DW65" authorId="0" shapeId="0" xr:uid="{3F85F327-6010-804A-9C92-D30331962B93}">
      <text>
        <r>
          <rPr>
            <b/>
            <sz val="10"/>
            <color rgb="FF000000"/>
            <rFont val="Tahoma"/>
            <family val="2"/>
          </rPr>
          <t xml:space="preserve">
change in the therapy after 48 hrs if was not adequate (table 3)</t>
        </r>
      </text>
    </comment>
    <comment ref="DX65" authorId="0" shapeId="0" xr:uid="{2C4A549E-1D4B-1B4B-B38C-B032C9CB5081}">
      <text>
        <r>
          <rPr>
            <b/>
            <sz val="10"/>
            <color rgb="FF000000"/>
            <rFont val="Tahoma"/>
            <family val="2"/>
          </rPr>
          <t xml:space="preserve">
there was not change in the exposure (antibiotic use) before outcome (bacteremia)</t>
        </r>
      </text>
    </comment>
    <comment ref="FN65" authorId="29" shapeId="0" xr:uid="{13CFD63B-3E90-9C40-B0EE-A0424C9B9E5C}">
      <text>
        <t>[Threaded comment]
Your version of Excel allows you to read this threaded comment; however, any edits to it will get removed if the file is opened in a newer version of Excel. Learn more: https://go.microsoft.com/fwlink/?linkid=870924
Comment:
    No significant variation for historical ATB consumption between groups</t>
      </text>
    </comment>
    <comment ref="FR65" authorId="0" shapeId="0" xr:uid="{74FBFE31-0CB1-7A4C-808D-FD1AD2119BDD}">
      <text>
        <r>
          <rPr>
            <b/>
            <sz val="10"/>
            <color rgb="FF000000"/>
            <rFont val="Tahoma"/>
            <family val="2"/>
          </rPr>
          <t xml:space="preserve">
</t>
        </r>
        <r>
          <rPr>
            <b/>
            <sz val="10"/>
            <color rgb="FF000000"/>
            <rFont val="Tahoma"/>
            <family val="2"/>
          </rPr>
          <t>por qué dice que no está presente, si la intervención (Presencia de AMR) es consistente (como definición de los grupos</t>
        </r>
      </text>
    </comment>
    <comment ref="S71" authorId="0" shapeId="0" xr:uid="{1000C5F1-2F14-2F42-9D1F-47CAC26264C4}">
      <text>
        <r>
          <rPr>
            <b/>
            <sz val="10"/>
            <color rgb="FF000000"/>
            <rFont val="Tahoma"/>
            <family val="2"/>
          </rPr>
          <t xml:space="preserve">
siempre considero la mortalidad en ese rango?? 7-28 dias</t>
        </r>
      </text>
    </comment>
    <comment ref="T71" authorId="0" shapeId="0" xr:uid="{07782309-0D74-0C47-BEC7-BA76DBD3B963}">
      <text>
        <r>
          <rPr>
            <b/>
            <sz val="10"/>
            <color rgb="FF000000"/>
            <rFont val="Tahoma"/>
            <family val="2"/>
          </rPr>
          <t xml:space="preserve">
siempre considero la mortalidad en ese rango?? 7-28 dias</t>
        </r>
      </text>
    </comment>
    <comment ref="U71" authorId="0" shapeId="0" xr:uid="{2B026899-CCE4-5549-A9CC-A75210937069}">
      <text>
        <r>
          <rPr>
            <b/>
            <sz val="10"/>
            <color rgb="FF000000"/>
            <rFont val="Tahoma"/>
            <family val="2"/>
          </rPr>
          <t xml:space="preserve">
one of the outcomes is total cost and depended of the lenght stay of the patient</t>
        </r>
      </text>
    </comment>
    <comment ref="DV71" authorId="0" shapeId="0" xr:uid="{73DAEDFF-1EA7-7844-945E-CA6C4A308370}">
      <text>
        <r>
          <rPr>
            <b/>
            <sz val="10"/>
            <color rgb="FF000000"/>
            <rFont val="Tahoma"/>
            <family val="2"/>
          </rPr>
          <t xml:space="preserve">
one of the outcomes is total cost and depended of the lenght stay of the patient</t>
        </r>
      </text>
    </comment>
    <comment ref="FR71" authorId="0" shapeId="0" xr:uid="{97B223AF-7569-2145-BC7D-697A05E80760}">
      <text>
        <r>
          <rPr>
            <b/>
            <sz val="10"/>
            <color rgb="FF000000"/>
            <rFont val="Tahoma"/>
            <family val="2"/>
          </rPr>
          <t xml:space="preserve">
siempre considero la mortalidad en ese rango?? 7-28 dias</t>
        </r>
      </text>
    </comment>
    <comment ref="FT71" authorId="0" shapeId="0" xr:uid="{E0F84E9D-9726-5644-917D-4303CC19AAE9}">
      <text>
        <r>
          <rPr>
            <b/>
            <sz val="10"/>
            <color rgb="FF000000"/>
            <rFont val="Tahoma"/>
            <family val="2"/>
          </rPr>
          <t xml:space="preserve">
one of the outcomes is total cost and depended of the lenght stay of the patient</t>
        </r>
      </text>
    </comment>
    <comment ref="H75" authorId="30" shapeId="0" xr:uid="{4B2253AE-E575-044A-BAFE-BB5C525F1DF5}">
      <text>
        <t>[Threaded comment]
Your version of Excel allows you to read this threaded comment; however, any edits to it will get removed if the file is opened in a newer version of Excel. Learn more: https://go.microsoft.com/fwlink/?linkid=870924
Comment:
    Multivariate analyses</t>
      </text>
    </comment>
    <comment ref="U75" authorId="0" shapeId="0" xr:uid="{EB567B96-B026-2D4A-93A2-5AE5C7077E46}">
      <text>
        <r>
          <rPr>
            <b/>
            <sz val="10"/>
            <color rgb="FF000000"/>
            <rFont val="Tahoma"/>
            <family val="2"/>
          </rPr>
          <t xml:space="preserve">
use adjusted OR
</t>
        </r>
      </text>
    </comment>
    <comment ref="Z75" authorId="31" shapeId="0" xr:uid="{FD97AB09-6D0E-2447-909C-F27C27FF4C5C}">
      <text>
        <t>[Threaded comment]
Your version of Excel allows you to read this threaded comment; however, any edits to it will get removed if the file is opened in a newer version of Excel. Learn more: https://go.microsoft.com/fwlink/?linkid=870924
Comment:
    Matched control cohort</t>
      </text>
    </comment>
    <comment ref="AK75" authorId="0" shapeId="0" xr:uid="{9B579385-24AB-264A-A322-B39AB7C8EFB3}">
      <text>
        <r>
          <rPr>
            <b/>
            <sz val="10"/>
            <color rgb="FF000000"/>
            <rFont val="Tahoma"/>
            <family val="2"/>
          </rPr>
          <t xml:space="preserve">
use of stratification </t>
        </r>
      </text>
    </comment>
    <comment ref="DB75" authorId="0" shapeId="0" xr:uid="{ACBCC0FA-E05E-CF49-BA90-74102A1E4054}">
      <text>
        <r>
          <rPr>
            <b/>
            <sz val="10"/>
            <color rgb="FF000000"/>
            <rFont val="Tahoma"/>
            <family val="2"/>
          </rPr>
          <t xml:space="preserve">
</t>
        </r>
        <r>
          <rPr>
            <b/>
            <sz val="10"/>
            <color rgb="FF000000"/>
            <rFont val="Tahoma"/>
            <family val="2"/>
          </rPr>
          <t>no multivariate analysis</t>
        </r>
      </text>
    </comment>
    <comment ref="DH75" authorId="0" shapeId="0" xr:uid="{49357747-59EA-8541-B7A9-6AB396436318}">
      <text>
        <r>
          <rPr>
            <b/>
            <sz val="10"/>
            <color rgb="FF000000"/>
            <rFont val="Tahoma"/>
            <family val="2"/>
          </rPr>
          <t xml:space="preserve">
</t>
        </r>
        <r>
          <rPr>
            <b/>
            <sz val="10"/>
            <color rgb="FF000000"/>
            <rFont val="Tahoma"/>
            <family val="2"/>
          </rPr>
          <t xml:space="preserve">no multivariable regression for ICU </t>
        </r>
      </text>
    </comment>
    <comment ref="DV75" authorId="0" shapeId="0" xr:uid="{6F893CE4-5485-4042-9C33-D87346E239C5}">
      <text>
        <r>
          <rPr>
            <b/>
            <sz val="10"/>
            <color rgb="FF000000"/>
            <rFont val="Tahoma"/>
            <family val="2"/>
          </rPr>
          <t xml:space="preserve">
use adjusted OR
</t>
        </r>
      </text>
    </comment>
    <comment ref="FT75" authorId="0" shapeId="0" xr:uid="{BF01A80D-4FBA-0343-B6BC-430D92EA79E6}">
      <text>
        <r>
          <rPr>
            <b/>
            <sz val="10"/>
            <color rgb="FF000000"/>
            <rFont val="Tahoma"/>
            <family val="2"/>
          </rPr>
          <t xml:space="preserve">
use adjusted OR
</t>
        </r>
      </text>
    </comment>
    <comment ref="FV75" authorId="32" shapeId="0" xr:uid="{7E53F832-DF8F-E64C-A0BD-3290D3A3FC7E}">
      <text>
        <t>[Threaded comment]
Your version of Excel allows you to read this threaded comment; however, any edits to it will get removed if the file is opened in a newer version of Excel. Learn more: https://go.microsoft.com/fwlink/?linkid=870924
Comment:
    Matched control cohort</t>
      </text>
    </comment>
    <comment ref="GZ75" authorId="0" shapeId="0" xr:uid="{DF8AA7F1-0843-5D42-8E15-15114A0DB070}">
      <text>
        <r>
          <rPr>
            <b/>
            <sz val="10"/>
            <color rgb="FF000000"/>
            <rFont val="Tahoma"/>
            <family val="2"/>
          </rPr>
          <t xml:space="preserve">
no multivariate analysis</t>
        </r>
      </text>
    </comment>
    <comment ref="H78" authorId="33" shapeId="0" xr:uid="{3A20D5B5-6034-EF4E-9BA3-1FCC8309E480}">
      <text>
        <t>[Threaded comment]
Your version of Excel allows you to read this threaded comment; however, any edits to it will get removed if the file is opened in a newer version of Excel. Learn more: https://go.microsoft.com/fwlink/?linkid=870924
Comment:
    No justification</t>
      </text>
    </comment>
    <comment ref="V78" authorId="0" shapeId="0" xr:uid="{A2C9C885-54B0-4646-88C4-13250D12CDF3}">
      <text>
        <r>
          <rPr>
            <b/>
            <sz val="10"/>
            <color rgb="FF000000"/>
            <rFont val="Tahoma"/>
            <family val="2"/>
          </rPr>
          <t xml:space="preserve">
The multaviable analisys was made based on the risk variables.</t>
        </r>
      </text>
    </comment>
    <comment ref="BG78" authorId="0" shapeId="0" xr:uid="{20E1BBCD-7904-C54B-829C-5ED043CADEEA}">
      <text>
        <r>
          <rPr>
            <b/>
            <sz val="10"/>
            <color rgb="FF000000"/>
            <rFont val="Tahoma"/>
            <family val="2"/>
          </rPr>
          <t xml:space="preserve">
there's no argument for the variables used in the multivariable analysis</t>
        </r>
      </text>
    </comment>
    <comment ref="BO78" authorId="0" shapeId="0" xr:uid="{4D5D806F-0758-C742-B982-97396C3439A6}">
      <text>
        <r>
          <rPr>
            <b/>
            <sz val="10"/>
            <color rgb="FF000000"/>
            <rFont val="Tahoma"/>
            <family val="2"/>
          </rPr>
          <t xml:space="preserve">
there is no argument for the use of risk variables in the multivariable analysis</t>
        </r>
      </text>
    </comment>
    <comment ref="BQ78" authorId="0" shapeId="0" xr:uid="{BDA69A91-0AAD-E648-8BD1-D7130EC324CA}">
      <text>
        <r>
          <rPr>
            <b/>
            <sz val="10"/>
            <color rgb="FF000000"/>
            <rFont val="Tahoma"/>
            <family val="2"/>
          </rPr>
          <t xml:space="preserve">
</t>
        </r>
        <r>
          <rPr>
            <b/>
            <sz val="10"/>
            <color rgb="FF000000"/>
            <rFont val="Tahoma"/>
            <family val="2"/>
          </rPr>
          <t>There's no discussion of the risk variables in the multivariable analysus</t>
        </r>
      </text>
    </comment>
    <comment ref="CA78" authorId="0" shapeId="0" xr:uid="{CD94C596-D341-6948-9041-362E83422212}">
      <text>
        <r>
          <rPr>
            <b/>
            <sz val="10"/>
            <color rgb="FF000000"/>
            <rFont val="Tahoma"/>
            <family val="2"/>
          </rPr>
          <t xml:space="preserve">
no argument for the use of variables in multivariable analysis</t>
        </r>
      </text>
    </comment>
    <comment ref="CC78" authorId="0" shapeId="0" xr:uid="{8493A864-70D1-2C41-8441-E82194A31BAB}">
      <text>
        <r>
          <rPr>
            <b/>
            <sz val="10"/>
            <color rgb="FF000000"/>
            <rFont val="Tahoma"/>
            <family val="2"/>
          </rPr>
          <t xml:space="preserve">
no argument for the variables used in the multivariable analysis</t>
        </r>
      </text>
    </comment>
    <comment ref="DK78" authorId="34" shapeId="0" xr:uid="{4C9943DD-012D-2D4D-B869-412AD406C297}">
      <text>
        <t>[Threaded comment]
Your version of Excel allows you to read this threaded comment; however, any edits to it will get removed if the file is opened in a newer version of Excel. Learn more: https://go.microsoft.com/fwlink/?linkid=870924
Comment:
    No justification</t>
      </text>
    </comment>
    <comment ref="EQ78" authorId="0" shapeId="0" xr:uid="{34300CC5-5FC1-2A47-9717-F72E4CAD2AC4}">
      <text>
        <r>
          <rPr>
            <b/>
            <sz val="10"/>
            <color rgb="FF000000"/>
            <rFont val="Tahoma"/>
            <family val="2"/>
          </rPr>
          <t xml:space="preserve">
there is no argument for the use of risk variables in the multivariable analysis</t>
        </r>
      </text>
    </comment>
    <comment ref="FN78" authorId="35" shapeId="0" xr:uid="{EBA7F80A-FEF7-F140-8F85-AFF50C640DFA}">
      <text>
        <t>[Threaded comment]
Your version of Excel allows you to read this threaded comment; however, any edits to it will get removed if the file is opened in a newer version of Excel. Learn more: https://go.microsoft.com/fwlink/?linkid=870924
Comment:
    No justification</t>
      </text>
    </comment>
    <comment ref="GJ78" authorId="0" shapeId="0" xr:uid="{0FAADF49-68E3-894B-BFDA-1E66C40AC77B}">
      <text>
        <r>
          <rPr>
            <b/>
            <sz val="10"/>
            <color rgb="FF000000"/>
            <rFont val="Tahoma"/>
            <family val="2"/>
          </rPr>
          <t xml:space="preserve">
there is no argument for the use of risk variables in the multivariable analysis</t>
        </r>
      </text>
    </comment>
    <comment ref="S81" authorId="0" shapeId="0" xr:uid="{8D494130-C457-7F45-963F-C01E03BF5E8A}">
      <text>
        <r>
          <rPr>
            <b/>
            <sz val="10"/>
            <color rgb="FF000000"/>
            <rFont val="Tahoma"/>
            <family val="2"/>
          </rPr>
          <t xml:space="preserve">
statistical significant the diference in ATM used</t>
        </r>
      </text>
    </comment>
    <comment ref="T81" authorId="0" shapeId="0" xr:uid="{45DB46A5-4BD9-1E4F-9700-81E826862CBC}">
      <text>
        <r>
          <rPr>
            <b/>
            <sz val="10"/>
            <color rgb="FF000000"/>
            <rFont val="Tahoma"/>
            <family val="2"/>
          </rPr>
          <t xml:space="preserve">
statistical significant the diference in ATM used</t>
        </r>
      </text>
    </comment>
    <comment ref="U81" authorId="0" shapeId="0" xr:uid="{37B9867F-31B3-6B44-8F12-24944BAB02CE}">
      <text>
        <r>
          <rPr>
            <b/>
            <sz val="10"/>
            <color rgb="FF000000"/>
            <rFont val="Tahoma"/>
            <family val="2"/>
          </rPr>
          <t xml:space="preserve">
dif in previus used of ATB</t>
        </r>
      </text>
    </comment>
    <comment ref="AH81" authorId="0" shapeId="0" xr:uid="{B62FB4B1-4545-B84D-8855-66E8A8E8F5CF}">
      <text>
        <r>
          <rPr>
            <b/>
            <sz val="10"/>
            <color rgb="FF000000"/>
            <rFont val="Tahoma"/>
            <family val="2"/>
          </rPr>
          <t xml:space="preserve">
Made a matching between groups</t>
        </r>
      </text>
    </comment>
    <comment ref="AI81" authorId="0" shapeId="0" xr:uid="{B3DAFBE5-0E1B-244A-BA9A-B79924C25432}">
      <text>
        <r>
          <rPr>
            <b/>
            <sz val="10"/>
            <color rgb="FF000000"/>
            <rFont val="Tahoma"/>
            <family val="2"/>
          </rPr>
          <t xml:space="preserve">
Made a matching between groups</t>
        </r>
      </text>
    </comment>
    <comment ref="AP81" authorId="0" shapeId="0" xr:uid="{06844ECB-6129-9341-8BF9-61CD5F59AB5F}">
      <text>
        <r>
          <rPr>
            <b/>
            <sz val="10"/>
            <color rgb="FF000000"/>
            <rFont val="Tahoma"/>
            <family val="2"/>
          </rPr>
          <t xml:space="preserve">
table 2</t>
        </r>
      </text>
    </comment>
    <comment ref="BN81" authorId="0" shapeId="0" xr:uid="{D8269D5A-4A35-754A-9486-3FDCEE25D76B}">
      <text>
        <r>
          <rPr>
            <b/>
            <sz val="10"/>
            <color rgb="FF000000"/>
            <rFont val="Tahoma"/>
            <family val="2"/>
          </rPr>
          <t xml:space="preserve">
matching</t>
        </r>
      </text>
    </comment>
    <comment ref="BX81" authorId="0" shapeId="0" xr:uid="{1974FD9F-1007-5C43-BD87-79A94494FF85}">
      <text>
        <r>
          <rPr>
            <b/>
            <sz val="10"/>
            <color rgb="FF000000"/>
            <rFont val="Tahoma"/>
            <family val="2"/>
          </rPr>
          <t xml:space="preserve">
</t>
        </r>
        <r>
          <rPr>
            <b/>
            <sz val="10"/>
            <color rgb="FF000000"/>
            <rFont val="Tahoma"/>
            <family val="2"/>
          </rPr>
          <t>no comparision of baseline characteristics between the grouo studys</t>
        </r>
      </text>
    </comment>
    <comment ref="DV81" authorId="0" shapeId="0" xr:uid="{0E59E64D-3129-7445-B63B-203029EB9697}">
      <text>
        <r>
          <rPr>
            <b/>
            <sz val="10"/>
            <color rgb="FF000000"/>
            <rFont val="Tahoma"/>
            <family val="2"/>
          </rPr>
          <t xml:space="preserve">
dif in previus used of ATB</t>
        </r>
      </text>
    </comment>
    <comment ref="FR81" authorId="0" shapeId="0" xr:uid="{0677DE1D-9A0A-B44F-81B4-2F4B13CE23E6}">
      <text>
        <r>
          <rPr>
            <b/>
            <sz val="10"/>
            <color rgb="FF000000"/>
            <rFont val="Tahoma"/>
            <family val="2"/>
          </rPr>
          <t xml:space="preserve">
statistical significant the diference in ATM used</t>
        </r>
      </text>
    </comment>
    <comment ref="FS81" authorId="0" shapeId="0" xr:uid="{203607F4-08C3-594E-B657-DB996854BA29}">
      <text>
        <r>
          <rPr>
            <b/>
            <sz val="10"/>
            <color rgb="FF000000"/>
            <rFont val="Tahoma"/>
            <family val="2"/>
          </rPr>
          <t xml:space="preserve">
statistical significant the diference in ATM used</t>
        </r>
      </text>
    </comment>
    <comment ref="FT81" authorId="0" shapeId="0" xr:uid="{F728F956-FC91-5648-9D6F-446467CF4E4A}">
      <text>
        <r>
          <rPr>
            <b/>
            <sz val="10"/>
            <color rgb="FF000000"/>
            <rFont val="Tahoma"/>
            <family val="2"/>
          </rPr>
          <t xml:space="preserve">
</t>
        </r>
        <r>
          <rPr>
            <b/>
            <sz val="10"/>
            <color rgb="FF000000"/>
            <rFont val="Tahoma"/>
            <family val="2"/>
          </rPr>
          <t>dif in previus used of ATB</t>
        </r>
      </text>
    </comment>
    <comment ref="GI81" authorId="0" shapeId="0" xr:uid="{1C5E00BC-DB42-3F43-B6DA-4F3D4A4ED5E2}">
      <text>
        <r>
          <rPr>
            <b/>
            <sz val="10"/>
            <color rgb="FF000000"/>
            <rFont val="Tahoma"/>
            <family val="2"/>
          </rPr>
          <t xml:space="preserve">
matching</t>
        </r>
      </text>
    </comment>
    <comment ref="CE84" authorId="0" shapeId="0" xr:uid="{ECC2CAEC-8FD7-9246-B3E6-73B02997349A}">
      <text>
        <r>
          <rPr>
            <b/>
            <sz val="10"/>
            <color rgb="FF000000"/>
            <rFont val="Tahoma"/>
            <family val="2"/>
          </rPr>
          <t xml:space="preserve">
selección alearotia de más de 3 controles</t>
        </r>
      </text>
    </comment>
    <comment ref="CF84" authorId="0" shapeId="0" xr:uid="{7E896713-E9D5-184B-9EED-91E6AB585EAA}">
      <text>
        <r>
          <rPr>
            <b/>
            <sz val="10"/>
            <color rgb="FF000000"/>
            <rFont val="Tahoma"/>
            <family val="2"/>
          </rPr>
          <t xml:space="preserve">
</t>
        </r>
        <r>
          <rPr>
            <b/>
            <sz val="10"/>
            <color rgb="FF000000"/>
            <rFont val="Tahoma"/>
            <family val="2"/>
          </rPr>
          <t>control group was random</t>
        </r>
      </text>
    </comment>
    <comment ref="CG84" authorId="0" shapeId="0" xr:uid="{BF4348FC-1A54-EF40-B1AA-8C1BE4CF4242}">
      <text>
        <r>
          <rPr>
            <b/>
            <sz val="10"/>
            <color rgb="FF000000"/>
            <rFont val="Tahoma"/>
            <family val="2"/>
          </rPr>
          <t xml:space="preserve">
</t>
        </r>
        <r>
          <rPr>
            <b/>
            <sz val="10"/>
            <color rgb="FF000000"/>
            <rFont val="Tahoma"/>
            <family val="2"/>
          </rPr>
          <t>control group was selected randomly</t>
        </r>
      </text>
    </comment>
    <comment ref="CQ84" authorId="0" shapeId="0" xr:uid="{340A61B0-F6F7-D648-B9EC-3F5CEF105287}">
      <text>
        <r>
          <rPr>
            <b/>
            <sz val="10"/>
            <color rgb="FF000000"/>
            <rFont val="Tahoma"/>
            <family val="2"/>
          </rPr>
          <t xml:space="preserve">
</t>
        </r>
        <r>
          <rPr>
            <b/>
            <sz val="10"/>
            <color rgb="FF000000"/>
            <rFont val="Tahoma"/>
            <family val="2"/>
          </rPr>
          <t>control grupo was selected randomly</t>
        </r>
      </text>
    </comment>
    <comment ref="EV84" authorId="0" shapeId="0" xr:uid="{C3C07BC0-7E8D-5A44-A511-E39446291B61}">
      <text>
        <r>
          <rPr>
            <b/>
            <sz val="10"/>
            <color rgb="FF000000"/>
            <rFont val="Tahoma"/>
            <family val="2"/>
          </rPr>
          <t xml:space="preserve">
selección alearotia de más de 3 controles</t>
        </r>
      </text>
    </comment>
    <comment ref="EW84" authorId="0" shapeId="0" xr:uid="{E0FB66F3-70C2-164F-9B2E-BDF245D605B5}">
      <text>
        <r>
          <rPr>
            <b/>
            <sz val="10"/>
            <color rgb="FF000000"/>
            <rFont val="Tahoma"/>
            <family val="2"/>
          </rPr>
          <t xml:space="preserve">
control group was random</t>
        </r>
      </text>
    </comment>
    <comment ref="EX84" authorId="0" shapeId="0" xr:uid="{EAEE6121-E5F7-2142-B761-1339734C8991}">
      <text>
        <r>
          <rPr>
            <b/>
            <sz val="10"/>
            <color rgb="FF000000"/>
            <rFont val="Tahoma"/>
            <family val="2"/>
          </rPr>
          <t xml:space="preserve">
control group was selected randomly</t>
        </r>
      </text>
    </comment>
    <comment ref="FC84" authorId="0" shapeId="0" xr:uid="{85BBEC27-209D-D84E-B446-9F184F2C5EB5}">
      <text>
        <r>
          <rPr>
            <b/>
            <sz val="10"/>
            <color rgb="FF000000"/>
            <rFont val="Tahoma"/>
            <family val="2"/>
          </rPr>
          <t xml:space="preserve">
control grupo was selected randomly</t>
        </r>
      </text>
    </comment>
    <comment ref="GO84" authorId="0" shapeId="0" xr:uid="{F61486C4-F29F-F341-8B5A-B4C4288242F0}">
      <text>
        <r>
          <rPr>
            <b/>
            <sz val="10"/>
            <color rgb="FF000000"/>
            <rFont val="Tahoma"/>
            <family val="2"/>
          </rPr>
          <t xml:space="preserve">
selección alearotia de más de 3 controles</t>
        </r>
      </text>
    </comment>
    <comment ref="GP84" authorId="0" shapeId="0" xr:uid="{7773B475-FC69-5E4E-8EA9-1E93E51013AF}">
      <text>
        <r>
          <rPr>
            <b/>
            <sz val="10"/>
            <color rgb="FF000000"/>
            <rFont val="Tahoma"/>
            <family val="2"/>
          </rPr>
          <t xml:space="preserve">
control group was random</t>
        </r>
      </text>
    </comment>
    <comment ref="GQ84" authorId="0" shapeId="0" xr:uid="{6552D631-735A-8D4B-B374-D352ADB1A90C}">
      <text>
        <r>
          <rPr>
            <b/>
            <sz val="10"/>
            <color rgb="FF000000"/>
            <rFont val="Tahoma"/>
            <family val="2"/>
          </rPr>
          <t xml:space="preserve">
control group was selected randomly</t>
        </r>
      </text>
    </comment>
    <comment ref="GT84" authorId="0" shapeId="0" xr:uid="{AEEEF90E-949F-7345-BD13-5380FE637525}">
      <text>
        <r>
          <rPr>
            <b/>
            <sz val="10"/>
            <color rgb="FF000000"/>
            <rFont val="Tahoma"/>
            <family val="2"/>
          </rPr>
          <t xml:space="preserve">
control grupo was selected randomly</t>
        </r>
      </text>
    </comment>
    <comment ref="S94" authorId="0" shapeId="0" xr:uid="{89F6AB6F-813C-F747-8C1F-C58267264833}">
      <text>
        <r>
          <rPr>
            <b/>
            <sz val="10"/>
            <color rgb="FF000000"/>
            <rFont val="Tahoma"/>
            <family val="2"/>
          </rPr>
          <t xml:space="preserve">
</t>
        </r>
        <r>
          <rPr>
            <b/>
            <sz val="10"/>
            <color rgb="FF000000"/>
            <rFont val="Tahoma"/>
            <family val="2"/>
          </rPr>
          <t xml:space="preserve">they compare groups using t-score and </t>
        </r>
      </text>
    </comment>
    <comment ref="T94" authorId="0" shapeId="0" xr:uid="{235E96A8-6D2F-F04A-BC7B-72F752589F86}">
      <text>
        <r>
          <rPr>
            <b/>
            <sz val="10"/>
            <color rgb="FF000000"/>
            <rFont val="Tahoma"/>
            <family val="2"/>
          </rPr>
          <t xml:space="preserve">
they compare groups using t-score and </t>
        </r>
      </text>
    </comment>
    <comment ref="BQ94" authorId="0" shapeId="0" xr:uid="{300F712A-B52F-9143-A639-AD201E3C55AA}">
      <text>
        <r>
          <rPr>
            <b/>
            <sz val="10"/>
            <color rgb="FF000000"/>
            <rFont val="Tahoma"/>
            <family val="2"/>
          </rPr>
          <t xml:space="preserve">
</t>
        </r>
        <r>
          <rPr>
            <b/>
            <sz val="10"/>
            <color rgb="FF000000"/>
            <rFont val="Tahoma"/>
            <family val="2"/>
          </rPr>
          <t>lack of sensitivity analysis in the multivariable analysis</t>
        </r>
      </text>
    </comment>
    <comment ref="CV94" authorId="0" shapeId="0" xr:uid="{713FE4F3-A9A9-C94E-91F5-95637D2951A0}">
      <text>
        <r>
          <rPr>
            <b/>
            <sz val="10"/>
            <color rgb="FF000000"/>
            <rFont val="Tahoma"/>
            <family val="2"/>
          </rPr>
          <t xml:space="preserve">
</t>
        </r>
        <r>
          <rPr>
            <b/>
            <sz val="10"/>
            <color rgb="FF000000"/>
            <rFont val="Tahoma"/>
            <family val="2"/>
          </rPr>
          <t>no justification for the variables used in the multivariable analysis. No discussion</t>
        </r>
      </text>
    </comment>
    <comment ref="DB94" authorId="0" shapeId="0" xr:uid="{C9A843D5-8BFB-C742-89DB-81F8F1AE8C35}">
      <text>
        <r>
          <rPr>
            <b/>
            <sz val="10"/>
            <color rgb="FF000000"/>
            <rFont val="Tahoma"/>
            <family val="2"/>
          </rPr>
          <t xml:space="preserve">
poor sensitivity analysis</t>
        </r>
      </text>
    </comment>
    <comment ref="DE94" authorId="0" shapeId="0" xr:uid="{CBB59F3C-4220-FF49-9A38-9F1393E389F0}">
      <text>
        <r>
          <rPr>
            <b/>
            <sz val="10"/>
            <color rgb="FF000000"/>
            <rFont val="Tahoma"/>
            <family val="2"/>
          </rPr>
          <t xml:space="preserve">
no justification for the variables used in the multivariable analysis</t>
        </r>
      </text>
    </comment>
    <comment ref="FI94" authorId="0" shapeId="0" xr:uid="{25B9FF40-CEE1-C04E-BBD5-F449558FED2B}">
      <text>
        <r>
          <rPr>
            <b/>
            <sz val="10"/>
            <color rgb="FF000000"/>
            <rFont val="Tahoma"/>
            <family val="2"/>
          </rPr>
          <t xml:space="preserve">
no selection of variables in the multivarible model</t>
        </r>
      </text>
    </comment>
    <comment ref="FR94" authorId="0" shapeId="0" xr:uid="{28D5E2F4-AB7C-5B44-9E5A-A5B4585EE441}">
      <text>
        <r>
          <rPr>
            <b/>
            <sz val="10"/>
            <color rgb="FF000000"/>
            <rFont val="Tahoma"/>
            <family val="2"/>
          </rPr>
          <t xml:space="preserve">
</t>
        </r>
        <r>
          <rPr>
            <b/>
            <sz val="10"/>
            <color rgb="FF000000"/>
            <rFont val="Tahoma"/>
            <family val="2"/>
          </rPr>
          <t xml:space="preserve">they compare groups using t-score and </t>
        </r>
      </text>
    </comment>
    <comment ref="FS94" authorId="0" shapeId="0" xr:uid="{44286E83-551E-E847-AE59-FE49BBEAE090}">
      <text>
        <r>
          <rPr>
            <b/>
            <sz val="10"/>
            <color rgb="FF000000"/>
            <rFont val="Tahoma"/>
            <family val="2"/>
          </rPr>
          <t xml:space="preserve">
</t>
        </r>
        <r>
          <rPr>
            <b/>
            <sz val="10"/>
            <color rgb="FF000000"/>
            <rFont val="Tahoma"/>
            <family val="2"/>
          </rPr>
          <t xml:space="preserve">they compare groups using t-score and </t>
        </r>
      </text>
    </comment>
    <comment ref="GZ94" authorId="0" shapeId="0" xr:uid="{84A71ECE-9792-AB45-9A42-ECD3071BFC29}">
      <text>
        <r>
          <rPr>
            <b/>
            <sz val="10"/>
            <color rgb="FF000000"/>
            <rFont val="Tahoma"/>
            <family val="2"/>
          </rPr>
          <t xml:space="preserve">
poor sensitivity analysis</t>
        </r>
      </text>
    </comment>
    <comment ref="S97" authorId="36" shapeId="0" xr:uid="{7B30A234-EEF0-0348-B76C-41008A80524A}">
      <text>
        <t>[Threaded comment]
Your version of Excel allows you to read this threaded comment; however, any edits to it will get removed if the file is opened in a newer version of Excel. Learn more: https://go.microsoft.com/fwlink/?linkid=870924
Comment:
    Error Table 1; age segments 70-80</t>
      </text>
    </comment>
    <comment ref="BJ97" authorId="0" shapeId="0" xr:uid="{26723078-549F-3B43-BA40-10DE817F5B53}">
      <text>
        <r>
          <rPr>
            <b/>
            <sz val="10"/>
            <color rgb="FF000000"/>
            <rFont val="Tahoma"/>
            <family val="2"/>
          </rPr>
          <t xml:space="preserve">
data analysis is not sufficient</t>
        </r>
      </text>
    </comment>
    <comment ref="BN97" authorId="0" shapeId="0" xr:uid="{AA2A1768-51CC-0346-89DA-A047EEF9B894}">
      <text>
        <r>
          <rPr>
            <b/>
            <sz val="10"/>
            <color rgb="FF000000"/>
            <rFont val="Tahoma"/>
            <family val="2"/>
          </rPr>
          <t xml:space="preserve">
</t>
        </r>
        <r>
          <rPr>
            <b/>
            <sz val="10"/>
            <color rgb="FF000000"/>
            <rFont val="Tahoma"/>
            <family val="2"/>
          </rPr>
          <t>for the outcome comaparision between groups, there is a small number of pairs</t>
        </r>
      </text>
    </comment>
    <comment ref="FR97" authorId="37" shapeId="0" xr:uid="{290BC53A-7F21-3040-B5F9-8A72FA5463A9}">
      <text>
        <t>[Threaded comment]
Your version of Excel allows you to read this threaded comment; however, any edits to it will get removed if the file is opened in a newer version of Excel. Learn more: https://go.microsoft.com/fwlink/?linkid=870924
Comment:
    Error Table 1; age segments 70-80</t>
      </text>
    </comment>
    <comment ref="GG97" authorId="0" shapeId="0" xr:uid="{D432D851-E1B3-2545-94FE-8D33A6E10AE4}">
      <text>
        <r>
          <rPr>
            <b/>
            <sz val="10"/>
            <color rgb="FF000000"/>
            <rFont val="Tahoma"/>
            <family val="2"/>
          </rPr>
          <t xml:space="preserve">
data analysis is not sufficient</t>
        </r>
      </text>
    </comment>
    <comment ref="GI97" authorId="0" shapeId="0" xr:uid="{47043861-F59D-284E-853A-EAE0D1F2A466}">
      <text>
        <r>
          <rPr>
            <b/>
            <sz val="10"/>
            <color rgb="FF000000"/>
            <rFont val="Tahoma"/>
            <family val="2"/>
          </rPr>
          <t xml:space="preserve">
for the outcome comaparision between groups, there is a small number of pairs</t>
        </r>
      </text>
    </comment>
    <comment ref="AG100" authorId="0" shapeId="0" xr:uid="{60F2AD2F-E86D-794F-A817-1B996AD70231}">
      <text>
        <r>
          <rPr>
            <b/>
            <sz val="10"/>
            <color rgb="FF000000"/>
            <rFont val="Tahoma"/>
            <family val="2"/>
          </rPr>
          <t xml:space="preserve">
</t>
        </r>
        <r>
          <rPr>
            <b/>
            <sz val="10"/>
            <color rgb="FF000000"/>
            <rFont val="Tahoma"/>
            <family val="2"/>
          </rPr>
          <t>the outcome (dead) is not mentionet in the objectives</t>
        </r>
      </text>
    </comment>
    <comment ref="AP100" authorId="0" shapeId="0" xr:uid="{4DAF2A0D-ACB3-604A-A0CE-ACF4A9BF71EF}">
      <text>
        <r>
          <rPr>
            <b/>
            <sz val="10"/>
            <color rgb="FF000000"/>
            <rFont val="Tahoma"/>
            <family val="2"/>
          </rPr>
          <t xml:space="preserve">
no clear outcome</t>
        </r>
      </text>
    </comment>
    <comment ref="AZ100" authorId="0" shapeId="0" xr:uid="{635CB201-E160-0E4F-9D71-354C0B49A47D}">
      <text>
        <r>
          <rPr>
            <b/>
            <sz val="10"/>
            <color rgb="FF000000"/>
            <rFont val="Tahoma"/>
            <family val="2"/>
          </rPr>
          <t xml:space="preserve">
there's no explicit definition of the outcome in the objectives
</t>
        </r>
      </text>
    </comment>
    <comment ref="DX100" authorId="0" shapeId="0" xr:uid="{CB0CC2EE-212B-C946-81F9-AEE1ECB4AF19}">
      <text>
        <r>
          <rPr>
            <b/>
            <sz val="10"/>
            <color rgb="FF000000"/>
            <rFont val="Tahoma"/>
            <family val="2"/>
          </rPr>
          <t xml:space="preserve">
there is a difference betwwen the numberof patients reported in the write (157) and in the table 1 (192) that could be data dredging</t>
        </r>
      </text>
    </comment>
    <comment ref="EA100" authorId="0" shapeId="0" xr:uid="{1BF6531E-FA49-DF4D-A246-044AAC8DEE29}">
      <text>
        <r>
          <rPr>
            <b/>
            <sz val="10"/>
            <color rgb="FF000000"/>
            <rFont val="Tahoma"/>
            <family val="2"/>
          </rPr>
          <t xml:space="preserve">
There is not initial hipothesis realted to the risk of VRE in the used of vancomicyn</t>
        </r>
      </text>
    </comment>
    <comment ref="FX100" authorId="0" shapeId="0" xr:uid="{8C47E6E3-09BD-494C-9F14-46AE2FB3BC03}">
      <text>
        <r>
          <rPr>
            <b/>
            <sz val="10"/>
            <color rgb="FF000000"/>
            <rFont val="Tahoma"/>
            <family val="2"/>
          </rPr>
          <t xml:space="preserve">
There is not initial hipothesis realted to the risk of VRE in the used of vancomicyn</t>
        </r>
      </text>
    </comment>
  </commentList>
</comments>
</file>

<file path=xl/sharedStrings.xml><?xml version="1.0" encoding="utf-8"?>
<sst xmlns="http://schemas.openxmlformats.org/spreadsheetml/2006/main" count="2888" uniqueCount="1069">
  <si>
    <t>Year</t>
  </si>
  <si>
    <t>Bacterium or bacteria analysed</t>
  </si>
  <si>
    <t>BSI AMR</t>
  </si>
  <si>
    <t>ICU Admission (n)</t>
  </si>
  <si>
    <t>Length of Stay [Mean]</t>
  </si>
  <si>
    <t>Length of Stay [SD]</t>
  </si>
  <si>
    <t>Costs (USD 2020) [Mean]</t>
  </si>
  <si>
    <t>Costs (USD 2020) [SD]</t>
  </si>
  <si>
    <t>Authors</t>
  </si>
  <si>
    <t>Country setting</t>
  </si>
  <si>
    <t>Total number of patients having BSI (sample size=N)</t>
  </si>
  <si>
    <t>Age [Mean]</t>
  </si>
  <si>
    <t>Age [SD]</t>
  </si>
  <si>
    <t>Gender (n, Female)</t>
  </si>
  <si>
    <t>ID</t>
  </si>
  <si>
    <t>BSI AMS</t>
  </si>
  <si>
    <t>Study setting</t>
  </si>
  <si>
    <t>Population characteristics / inclusion criteria</t>
  </si>
  <si>
    <t>Total number of patients with AMR (n)</t>
  </si>
  <si>
    <t>Total total number of patients with AMS (n)</t>
  </si>
  <si>
    <t>CHARLSON score</t>
  </si>
  <si>
    <t>OR</t>
  </si>
  <si>
    <t>UCI</t>
  </si>
  <si>
    <t>LCI</t>
  </si>
  <si>
    <t>Article title</t>
  </si>
  <si>
    <t xml:space="preserve"> </t>
  </si>
  <si>
    <t>Risk factors for resistance and mortality in patients with extensively resistant Acinetobacter bacteremia in taleghani hospital in Tehran, Iran</t>
  </si>
  <si>
    <t>Iran</t>
  </si>
  <si>
    <t>Epidemiology and Outcome of Bacteremia Caused by Extended Spectrum Beta-Lactamase (ESBL)-producing Escherichia Coli and Klebsiella Spp. in a Tertiary Care Teaching Hospital in South India</t>
  </si>
  <si>
    <t>India</t>
  </si>
  <si>
    <t>Gram-negative</t>
  </si>
  <si>
    <t>Tertiary care hospital: wards and ICUs</t>
  </si>
  <si>
    <t>Critical</t>
  </si>
  <si>
    <t>Antibiotics</t>
  </si>
  <si>
    <t>Notes</t>
  </si>
  <si>
    <t>ORs calculated for non-producing ESBL, constant+ESBL producing</t>
  </si>
  <si>
    <t>Acinetobacter baumanii</t>
  </si>
  <si>
    <t>XDR BSI patients against non-XDR</t>
  </si>
  <si>
    <t>Hospitalised patients</t>
  </si>
  <si>
    <t>Length of stay was calculated based on averages</t>
  </si>
  <si>
    <t>Ceftriaxone, Ceftizoxime, Cefepime, Ceftazidime, Gentamycin, Amikacin, Ciprofloxacin, Imipenem, Meropenem,  Pipracillin-tazobactam, Trimetoprim-sulfamethoxazole, Amoxi-clavunate.</t>
  </si>
  <si>
    <t>B-LACTAM</t>
  </si>
  <si>
    <t>PENICILIN</t>
  </si>
  <si>
    <t xml:space="preserve">CEPHALOSPORINS </t>
  </si>
  <si>
    <t>QUINOLONES</t>
  </si>
  <si>
    <t>CARBAPENEMS</t>
  </si>
  <si>
    <t>GLYCOPEPTIDES</t>
  </si>
  <si>
    <t>Risk factors and clinical outcomes for vancomycin-resistant enterococcus bacteraemia in hospitalised cancer patients in Pakistan: A case-control study</t>
  </si>
  <si>
    <t>Pakistan</t>
  </si>
  <si>
    <t>Hospitalised cancer patients</t>
  </si>
  <si>
    <t>Vancomycin</t>
  </si>
  <si>
    <t>Gram-positive</t>
  </si>
  <si>
    <t>High</t>
  </si>
  <si>
    <t>Risk factors and clinical outcomes of multidrug-resistant Acinetobacter baumannii bacteremia at a university hospital in Thailand</t>
  </si>
  <si>
    <t>Thailand</t>
  </si>
  <si>
    <t>University hospital</t>
  </si>
  <si>
    <t>MULTIPLE</t>
  </si>
  <si>
    <t>Non-MDR vs MDR patients with BSI were enrolled</t>
  </si>
  <si>
    <t>Ceftazidime, cefotaxime, cefepime, cefpirome, ampi- cillin-sulbactam, piperacillin-tazobactam, cefoperazone-sulbactam), gentamicin or amikacin, ciprofloxacin or ofloxacin, and trimethoprim-sulfamethoxazole</t>
  </si>
  <si>
    <t>NON B-LACTAM</t>
  </si>
  <si>
    <t>Risk factors for methicillin-resistant Staphylococcus aureus bacteremia: A multicenter matched case-control study</t>
  </si>
  <si>
    <t>Arias-Ortiz, L. P. Calderón, J. S. Castillo, J. Moreno, A. L. Leal, J. A. Cortés, et al.</t>
  </si>
  <si>
    <t>Staphylococcus aureus</t>
  </si>
  <si>
    <t>Methicillin</t>
  </si>
  <si>
    <t>41 intensive care units at 18 public and highly complex hospitals in Bogotá</t>
  </si>
  <si>
    <t>Colombia</t>
  </si>
  <si>
    <t>Patients over 15 yo hospitalized in the ICU with methicillin- resistant and susceptible S. aureus bacteremia confirmed by blood culture</t>
  </si>
  <si>
    <t>Income Level (WB)</t>
  </si>
  <si>
    <t>Upper Middle Income</t>
  </si>
  <si>
    <t>Lower Middle Income</t>
  </si>
  <si>
    <t>Risk factors and antibiotic use in methicillin-resistant Staphylococcus aureus Bacteremia in hospitalized patients at Hacettepe University Adult and Oncology Hospitals (2004-2011) and antimicrobial susceptibilities of the isolates: A nested case-control study</t>
  </si>
  <si>
    <t>Atmaca, P. Z. Köşker, C. Karahan, B. Çakir and S. Ünal</t>
  </si>
  <si>
    <t>Hospitalized patients at Hacettepe University Adult and Oncology Hospitals</t>
  </si>
  <si>
    <t>Turkey</t>
  </si>
  <si>
    <t>Economic burden of methicillin-resistant Staphylococcus aureus bacteremia in critical care patients in hospitals in Bogotá</t>
  </si>
  <si>
    <t>Acinetobacter baumanii, Peseudomonas aeruginosa, Enterobacteriacae, Klebsciella Pneumoniae</t>
  </si>
  <si>
    <t>Bacterial colonization of pressure ulcers: assessment of risk for bloodstream infection and impact on patient outcomes</t>
  </si>
  <si>
    <t>Braga, C. C. Pirett, R. M. Ribas, P. P. Gontijo Filho and A. Diogo Filho</t>
  </si>
  <si>
    <t>Brazil</t>
  </si>
  <si>
    <t>WHO Region</t>
  </si>
  <si>
    <t>Americas</t>
  </si>
  <si>
    <t>Eastern Mediterranean Region</t>
  </si>
  <si>
    <t>South-East Asian Region</t>
  </si>
  <si>
    <t>European Region</t>
  </si>
  <si>
    <t>Mortality among critically ill patients with methicillin-resistant Staphylococcus aureus bacteremia: A multicenter cohort study in Colombia</t>
  </si>
  <si>
    <t>Castillo Londoño, A. L. Leal, J. A. Cortes, C. A. Alvarez, R. Sanchez, G. Buitrago, et al.</t>
  </si>
  <si>
    <t>Nine private and public hospitals of high complexity</t>
  </si>
  <si>
    <t>Proposal of a clinical score to stratify the risk of multidrug-resistant gram-negative rods bacteremia in cancer patients</t>
  </si>
  <si>
    <t>Carena, A. Laborde, I. Roccia-Rossi, C. J. Palacios, R. Jordán, A. Valledor, et al.</t>
  </si>
  <si>
    <t>Argentina</t>
  </si>
  <si>
    <t>Risk factors and mortality for patients with Bloodstream infections of Klebsiella pneumoniae during 2014-2018: Clinical impact of carbapenem resistance in a large tertiary hospital of China</t>
  </si>
  <si>
    <t>Chang, J. Wei, W. Zhou, X. Yan, X. Cao, L. Zuo, et al.</t>
  </si>
  <si>
    <t>Nosocomial bloodstream infection in patients caused by Staphylococcus aureus: drug susceptibility, outcome, and risk factors for hospital mortality</t>
  </si>
  <si>
    <t>Chen, Z. Q. Yan, D. Feng, Y. P. Luo, L. L. Wang and D. X. Shen</t>
  </si>
  <si>
    <t>Nanjing Drum Tower Hospital (a 3000-bed tertiary hospital in Jiangsu Province, China with an aver- age of 100,000 admissions per year)</t>
  </si>
  <si>
    <t>China</t>
  </si>
  <si>
    <t>Western Pacific Region</t>
  </si>
  <si>
    <t>Klebsiella pneumoniae</t>
  </si>
  <si>
    <t>Clinical characteristics and outcomes of community and hospital-acquired Acinetobacter baumannii bacteremia</t>
  </si>
  <si>
    <t>Chusri S., V. Chongsuvivatwong, K. Silpapojakul, K. Singkhamanan, T. Hortiwakul, B. Charernmak, et al.</t>
  </si>
  <si>
    <t>Adult patients (age !18 years)</t>
  </si>
  <si>
    <t xml:space="preserve">Songklanagarind Hospital </t>
  </si>
  <si>
    <t>Conterno L.O, S. B. Wey and A. Castelo</t>
  </si>
  <si>
    <t>Risk factors for mortality in Staphylococcus aureus bacteremia</t>
  </si>
  <si>
    <t>General Teaching Hospital</t>
  </si>
  <si>
    <t>Molecular epidemiological survey of bacteremia by multidrug resistant Pseudomonas aeruginosa: The relevance of intrinsic resistance mechanisms</t>
  </si>
  <si>
    <t>Dantas RCDD, R. T. E. Silva, M. L. Ferreira, I. R. Gonçalves, B. F. Araújo, P. A. De Campos, et al.</t>
  </si>
  <si>
    <t>Pseudomonas aeruginosa</t>
  </si>
  <si>
    <t>Uberlandia University Hospital</t>
  </si>
  <si>
    <t>Prevalence of Toxin Genes among the Clinical Isolates of Staphylococcus aureus and its Clinical Impact</t>
  </si>
  <si>
    <t>Deodhar D., G. Varghese, V. Balaji, J. John, G. Rebekah, J. Janardhanan, et al.</t>
  </si>
  <si>
    <t>Medical College and Hospital</t>
  </si>
  <si>
    <t>Staphylococcus aureus bacteremia: comparison of two periods and a predictive model of mortality</t>
  </si>
  <si>
    <t xml:space="preserve">São Paulo hospital </t>
  </si>
  <si>
    <t>Patients over 14 years old were selected</t>
  </si>
  <si>
    <t>Risk factors and outcomes of imipenem-resistant Acinetobacter bloodstream infection in North-Eastern Malaysia</t>
  </si>
  <si>
    <t>Deris, Z. Z.; Shafei, M. N.; Harun, A.;</t>
  </si>
  <si>
    <t>Malaysia</t>
  </si>
  <si>
    <t>Imipenem</t>
  </si>
  <si>
    <t>Mortality markers in nosocomial Klebsiella pneumoniae bloodstream infection</t>
  </si>
  <si>
    <t>Durdu, B.; Hakyemez, I. N.; Bolukcu, S.; Okay, G.; Gultepe, B.; Aslan, T.;</t>
  </si>
  <si>
    <t>Barrero, L. I. and Castillo, J. S. and Leal, A. L. and S√°nchez, R. and Cort√©s, J. A. and √Ålvarez, C. A. and Gonz√°lez, A. L. and Zamora, F. and Saravia, J. and Hern√°ndez, Y. and Olarte, N. and Valderrama, A. and Alm√°nzar, A. and Alquichire, C. and Arango, A. and Monta√±ez, Z. and Saavedra, C. and Oliveros, H. and P√©rez, C. and Cuevas, B. and Osorio, N. and Pernet, I. and Cu√©llar, C. and Casta√±eda, S. and Romero, S. and Gonz√°lez, M. P. and Grebo</t>
  </si>
  <si>
    <t>Healthcare-associated Gram-negative bloodstream infections: antibiotic resistance and predictors of mortality</t>
  </si>
  <si>
    <t>Epidemiology, risk factors and outcomes of multi-drug-resistant bloodstream infections in haematopoietic stem cell transplant recipients: importance of previous gut colonization</t>
  </si>
  <si>
    <t>Ferreira, A. M. and Moreira, F. and Guimaraes, T. and Spad√£o, F. and Ramos, J. F. and Batista, M. V. and Filho, J. S. and Costa, S. F. and Rocha, V.</t>
  </si>
  <si>
    <t>Risk factors for extensive drug-resistance and mortality in geriatric inpatients with bacteremia caused by Acinetobacter baumannii</t>
  </si>
  <si>
    <t>Fu, Q. and Ye, H. and Liu, S.</t>
  </si>
  <si>
    <t>Risk factors for vancomycin-resistant Enterococcus faecalis bacteremia in hospitalized patients: An analysis of two case-control studies</t>
  </si>
  <si>
    <t>Furtado, G. H. C. and Mendes, R. E. and Campos Pignatari, A. C. and Wey, S. B. and Medeiros, E. A. S.</t>
  </si>
  <si>
    <t>Factors associated with bacteremia due to multidrug-resistant Gram-negative bacilli in hematopoietic stem cell transplant recipients</t>
  </si>
  <si>
    <t>Garnica, M. and Maiolino, A. and Nucci, M.</t>
  </si>
  <si>
    <t>Tendency of resistance to ciprofloxacin in bacteriemias due to Escherichia coli</t>
  </si>
  <si>
    <t>Clinical study of carbapenem sensitive and resistant Gram-negative bacteremia in neutropenic and nonneutropenic patients: The first series from India</t>
  </si>
  <si>
    <t>Ghafur, A. K. and Vidyalakshmi, P. R. and Kannaian, P. and Balasubramaniam, R.</t>
  </si>
  <si>
    <t>[Effect of adequate initial antimicrobial therapy on mortality in critical patients with Pseudomonas aeruginosa bacteremia]</t>
  </si>
  <si>
    <t>Risk factors and outcomes of hospitalized patients with blood infections caused by multidrug-resistant Acinetobacter baumannii complex in a hospital of Northern China</t>
  </si>
  <si>
    <t>Guo, N. and Xue, W. and Tang, D. and Ding, J. and Zhao, B.</t>
  </si>
  <si>
    <t>Staphylococcemia mortality: Influence of methicillin resistance and site of infection acquisition in a patient's cohort from Medellin, Colombia</t>
  </si>
  <si>
    <t>Bloodstream infections in cancer patients. Risk factors associated with mortality</t>
  </si>
  <si>
    <t>An Update to Enterococcal Bacteremia: Epidemiology, Resistance, and Outcome</t>
  </si>
  <si>
    <t>Jafari, S. and Abdollahi, A. and Sabahi, M. and Salehi, M. and Asadollahi-Amin, A. and Hasannezhad, M. and Seifi, A.</t>
  </si>
  <si>
    <t>Attributable mortality of imipenem-resistant nosocomial Acinetobacter baumannii bloodstream infection</t>
  </si>
  <si>
    <t>Jamulitrat, S. and Pranee Arunpan, R. N. and Parichart Phainuphong, R. N.</t>
  </si>
  <si>
    <t>Risk factors for carbapenem resistant bacteraemia and mortality due to gram negative bacteraemia in a developing country</t>
  </si>
  <si>
    <t>Kalam, K. and Qamar, F. and Kumar, S. and Ali, S. and Baqi, S.</t>
  </si>
  <si>
    <t>Clinical characteristics and prognosis of carbapenem-resistant klebsiella pneumoniae infection of critical patients</t>
  </si>
  <si>
    <t>Li, H. and Zheng, Y. and Yang, X. and Zhang, P. and Xiao, W. and Yang, M.</t>
  </si>
  <si>
    <t>Risk factors of mortality in bloodstream infections caused by Klebsiella pneumonia: A single-center retrospective study in China</t>
  </si>
  <si>
    <t>Li, L. and Huang, H.</t>
  </si>
  <si>
    <t>Carbapenem-resistant and cephalosporin-susceptible pseudomonas aeruginosa: A notable phenotype in patients with bacteremia</t>
  </si>
  <si>
    <t>Li, S. and Jia, X. and Li, C. and Zou, H. and Liu, H. and Guo, Y. and Zhang, L.</t>
  </si>
  <si>
    <t>Clinical and Mortality Risk Factors in Bloodstream Infections with Carbapenem-Resistant Enterobacteriaceae</t>
  </si>
  <si>
    <t>Li, X. and Ye, H.</t>
  </si>
  <si>
    <t>Ergönül, Ö; Aydin, M.; Azap, A.; Başaran, S.; Tekin, S.; Kaya, Ş; Gülsün, S.; Yörük, G.; Kurşun, E.; Yeşilkaya, A.; Şimşek, F.; Yılmaz, E.; Bilgin, H.; Hatipoğlu, Ç; Cabadak, H.; Tezer, Y.; Togan, T.; Karaoğlan, I.; İnan, A.; Engin, A.; Alışkan, H. E.; Yavuz, SŞ; Erdinç, Ş; Mulazimoglu, L.; Azap, Ö; Can, F.; Akalın, H.; Timurkaynak, F.;</t>
  </si>
  <si>
    <t>Gaytán, J. J. A.; Mancilla, G. C.; Meza, H. A. R.; Padilla, P. A. V.; González, C. Y. A.; Lara, C. E. G.;</t>
  </si>
  <si>
    <t>González, A. L.; Leal, A. L.; Cortés, J. A.; Sánchez, R.; Barrero, L. I.; Castillo, J. S.; Álvarez, C. A.;</t>
  </si>
  <si>
    <t>Hincapié, C.; Galeano, J. A.; Tibaduiza, M. F.; Restrepo, C. A.; Garcés, D.; Caraballo, C.; Echeverri, L.; Ascuntar, J.; Luz, L. A.; Jaimes, F. A.;</t>
  </si>
  <si>
    <t>Islas-Muñoz, B.; Volkow-Fernández, P.; Ibanes-Gutiérrez, C.; Villamar-Ramírez, A.; Vilar-Compte, D.; Cornejo-Juárez, P.;</t>
  </si>
  <si>
    <t>Hospitalised patients aged &gt;16 years</t>
  </si>
  <si>
    <t xml:space="preserve">Bezmialem Vakif University Medical School Hospital </t>
  </si>
  <si>
    <t>Multi-centre study included 17 tertiary care centres</t>
  </si>
  <si>
    <t>University of Sao Paulo Medical Centre with 2200 beds</t>
  </si>
  <si>
    <t>Geriatric inpatients (aged 65 and over)</t>
  </si>
  <si>
    <t>Hospital Sa ̃o Paulo, a 680-bed university-affiliated hospital</t>
  </si>
  <si>
    <t>Enterococcus spp</t>
  </si>
  <si>
    <t>Hospital Universitário Clementino Fraga Filho</t>
  </si>
  <si>
    <t>Mexico</t>
  </si>
  <si>
    <t>Medicine school Hospital, Monterrey</t>
  </si>
  <si>
    <t>Ciprofloxacin</t>
  </si>
  <si>
    <t>Escherichia coli</t>
  </si>
  <si>
    <t>Apollo Specialty Hospital, a 300- bedded tertiary care Oncology, neurosurgical and orthopedic center in South India</t>
  </si>
  <si>
    <t xml:space="preserve">General Hospi- tal of Shenyang Military </t>
  </si>
  <si>
    <t>Two tertiary level hospitals: one with 662 and the other with 602 beds</t>
  </si>
  <si>
    <t>Songklanagarind Hospital, an 850-bed medical school, training, and referral center in the south of Thailand.The hospital has three intensive care units (ICUs), a 19-bed adult medical-surgical ICU, a seven- bed pediatric ICU, and a 15-unit neonatal ICU</t>
  </si>
  <si>
    <t>Medical patients who who were cared for primarily by an internis</t>
  </si>
  <si>
    <t>Hospital of Anhui Medical University</t>
  </si>
  <si>
    <t>Enterobacteriaceae</t>
  </si>
  <si>
    <t>Hospital of Capital Medical University, China</t>
  </si>
  <si>
    <t>Regression analysis: Unadjusted mortality</t>
  </si>
  <si>
    <t>Regression analysis: Adjusted mortality</t>
  </si>
  <si>
    <t>Mortality  (N)</t>
  </si>
  <si>
    <t>Diabetes (n)</t>
  </si>
  <si>
    <t>Hypertension (n)</t>
  </si>
  <si>
    <t>COP 2012 were used for costs</t>
  </si>
  <si>
    <t>MDR was used because there was a combination of bacteria</t>
  </si>
  <si>
    <t>Five-year change of prevalence and risk factors for infection and mortality of carbapenem-resistant Klebsiella pneumoniae bloodstream infection in a tertiary hospital in North China</t>
  </si>
  <si>
    <t>Li, Y. and Li, J. and Hu, T. and Hu, J. and Song, N. and Zhang, Y. and Chen, Y.</t>
  </si>
  <si>
    <t>Epidemiology and burden of multidrug-resistant bacterial infection in a developing country</t>
  </si>
  <si>
    <t>Lim, C. and Takahashi, E. and Hongsuwan, M. and Wuthiekanun, V. and Thamlikitkul, V. and Hinjoy, S. and Day, N. P. J. and Peacock, S. J. and Limmathurotsakul, D.</t>
  </si>
  <si>
    <t>Predictive factors for sepsis by carbapenem resistant Gram-negative bacilli in adult critical patients in Rio de Janeiro: A case-case-control design in a prospective cohort study</t>
  </si>
  <si>
    <t>Lima, E. M. and Cid, P. A. and Beck, D. S. and Pinheiro, L. H. Z. and Tonh√°, J. P. S. and Alves, M. Z. O. and Louren√ßo, N. D. and Santos, R. Q. and Asensi, M. D. and Marques, J. A. and Bandeira, C. S. and Rodrigues, C. A. S. and Gomes Junior, S. C. S. and Gomes, M. Z. R. and Magalh√£es, G. R. A. A. and Silva, P. P. and Reis Di Chiara, S. M. S. A. S. and Machado, A. A. S. and Tozo, T. M. and Rosas, L. L. P. A. and Barros, P. C. M. and De Freitas, W. V. and Assef, A. P. D. C.</t>
  </si>
  <si>
    <t>Clinical, epidemiological and microbiological characterization of bacteremia produced by carbapenem-resistant enterobacteria in a university hospital in C√≥rdoba, Argentina</t>
  </si>
  <si>
    <t>Lipari, F. G. and Hern√°ndez, D. and Vilar√≥, M. and Caeiro, J. P. and Saka, H. A.</t>
  </si>
  <si>
    <t>Risk factors and outcomes for carbapenem-resistant Klebsiella pneumoniae bacteremia in onco-hematological patients</t>
  </si>
  <si>
    <t>Liu, J. and Wang, H. and Huang, Z. and Tao, X. and Li, J. and Hu, Y. and Dou, Q. and Zou, M.</t>
  </si>
  <si>
    <t>Risk and prognostic factors for multidrug-resistant Acinetobacter baumannii complex bacteremia: A retrospective study in a tertiary hospital of West China</t>
  </si>
  <si>
    <t>Liu, Q. and Li, W. and Du, X. and Li, W. and Zhong, T. and Tang, Y. and Feng, Y. and Tao, C. and Xie, Y.</t>
  </si>
  <si>
    <t>Polymicrobial Bacteremia Involving Klebsiella pneumoniae in Patients with Complicated Intra-Abdominal Infections: Frequency, Co-Pathogens, Risk Factors, and Clinical Outcomes</t>
  </si>
  <si>
    <t>Liu, Q. and Wu, J. and Wang, Z. and Wu, X. and Wang, G. and Ren, J.</t>
  </si>
  <si>
    <t>Prospective multi-center evaluation on risk factors, clinical characteristics and outcomes due to carbapenem resistance in Acinetobacter baumannii complex bacteraemia: experience from the Chinese Antimicrobial Resistance Surveillance of Nosocomial Infections (CARES) Network</t>
  </si>
  <si>
    <t>Liu, Y. and Wang, Q. and Zhao, C. and Chen, H. and Li, H. and Wang, H. and Cares Network, Obot</t>
  </si>
  <si>
    <t>Risk factors and outcomes associated with vancomycin-resistant Enterococcus faecium and ampicillin-resistant Enterococcus faecalis bacteraemia: A 10-year study in a tertiary-care centre in Mexico City</t>
  </si>
  <si>
    <t>Antimicrobial resistance patterns, clinical features, and risk factors for septic shock and death of nosocomial e coli bacteremia in adult patients with hematological disease</t>
  </si>
  <si>
    <t>Ma, J. and Li, N. and Liu, Y. and Wang, C. and Liu, X. and Chen, S. and Xie, X. and Gan, S. and Wang, M. and Cao, W. and Wang, F. and Liu, Y. and Wan, D. and Sun, L. and Sun, H.</t>
  </si>
  <si>
    <t>Nosocomial bloodstream infections caused by Klebsiella pneumoniae: impact of extended-spectrum beta-lactamase (ESBL) production on clinical outcome in a hospital with high ESBL prevalence</t>
  </si>
  <si>
    <t>Marra, A. R. and Wey, S. B. and Castelo, A. and Gales, A. C. and Cal, R. G. and Filho, J. R. and Edmond, M. B. and Pereira, C. A.</t>
  </si>
  <si>
    <t>The effect of colistin resistance and other predictors on fatality among patients with bloodstream infections due to Klebsiella pneumoniae in an OXA-48 dominant region</t>
  </si>
  <si>
    <t>Factors influencing survival in patients with multi-drug-resistant Acinetobacter bacteraemia</t>
  </si>
  <si>
    <t>Metan, G. and Sariguzel, F. and Sumerkan, B.</t>
  </si>
  <si>
    <t>Third generation cephalosporin resistant Enterobacteriaceae and multidrug resistant gram-negative bacteria causing bacteremia in febrile neutropenia adult cancer patients in Lebanon, broad spectrum antibiotics use as a major risk factor, and correlation with poor prognosis</t>
  </si>
  <si>
    <t>Moghnieh, R. and Estaitieh, N. and Mugharbil, A. and Jisr, T. and Abdallah, D. I. and Ziade, F. and Sinno, L. and Ibrahim, A.</t>
  </si>
  <si>
    <t>[Effect of nosocomial bacteremia caused by oxacillin-resistant Staphylococcus aureus on mortality and length of hospitalization]</t>
  </si>
  <si>
    <t>Moreira, M. and Medeiros, E. A. and Pignatari, A. C. and Wey, S. B. and Cardo, D. M.</t>
  </si>
  <si>
    <t>Resistance Trend, Antibiotic Utilization and Mortality in Patients with E. coli Bacteraemia</t>
  </si>
  <si>
    <t>Najmi, A. and Karimi, F. and Kunhikatta, V. and Varma, M. and Nair, S.</t>
  </si>
  <si>
    <t>Retrospective comparative analysis of risk factors and outcomes in patients with carbapenem-resistant Acinetobacter baumannii bloodstream infections: Cefoperazone‚Äìsulbactam associated with resistance and tigecycline increased the mortality</t>
  </si>
  <si>
    <t>Niu, T. and Xiao, T. and Guo, L. and Yu, W. and Chen, Y. and Zheng, B. and Huang, C. and Yu, X. and Xiao, Y.</t>
  </si>
  <si>
    <t>Epidemiology and risk factors of extensively drug-resistant Pseudomonas aeruginosa infections</t>
  </si>
  <si>
    <t>Palavutitotai, N. and Jitmuang, A. and Tongsai, S. and Kiratisin, P. and Angkasekwinai, N.</t>
  </si>
  <si>
    <t>Active surveillance to determine the impact of methicillin resistance on mortality in patients with bacteremia and influences of the use of antibiotics on the development of MRSA infection</t>
  </si>
  <si>
    <t>Porto, J. P. and Santos, R. O. and Gontijo Filho, P. P. and Ribas, R. M.</t>
  </si>
  <si>
    <t>High Mortality from Blood Stream Infection in Addis Ababa, Ethiopia, Is Due to Antimicrobial Resistance</t>
  </si>
  <si>
    <t>Seboxa, T. and Amogne, W. and Abebe, W. and Tsegaye, T. and Azazh, A. and Hailu, W. and Fufa, K. and Grude, N. and Henriksen, T. H.</t>
  </si>
  <si>
    <t>Bloodstream infections caused by ESBL-producing E. coli and K. pneumoniae: Risk factors for multidrug-resistance</t>
  </si>
  <si>
    <t>Serefhanoglu, K. and Turan, H. and Timurkaynak, F. E. and Arslan, H.</t>
  </si>
  <si>
    <t>Multidrug resistant gram-negative bacilli as predominant bacteremic pathogens in liver transplant recipients</t>
  </si>
  <si>
    <t>Shi, S. H. and Kong, H. S. and Xu, J. and Zhang, W. J. and Jia, C. K. and Wang, W. L. and Shen, Y. and Zhang, M. and Zheng, S. S.</t>
  </si>
  <si>
    <t>Implementation of global antimicrobial resistance surveillance system (GLASS) in patients with bacteremia</t>
  </si>
  <si>
    <t>Sirijatuphat, R. and Sripanidkulchai, K. and Boonyasiri, A. and Rattanaumpawan, P. and Supapueng, O. and Kiratisin, P. and Thamlikitkul, V.</t>
  </si>
  <si>
    <t>The management and outcomes of Staphylococcus aureus bacteraemia at a South African referral hospital: A prospective observational study</t>
  </si>
  <si>
    <t>Steinhaus, N. and Al-Talib, M. and Ive, P. and Boyles, T. and Bamford, C. and Davies, M. A. and Mendelson, M. and Wasserman, S.</t>
  </si>
  <si>
    <t>Effect of carbapenem resistance on outcomes of bloodstream infection caused by Enterobacteriaceae in low-income and middle-income countries (PANORAMA): a multinational prospective cohort study</t>
  </si>
  <si>
    <t>Stewardson, A. J. and Marimuthu, K. and Sengupta, S. and Allignol, A. and El-Bouseary, M. and Carvalho, M. J. and Hassan, B. and Delgado-Ramirez, M. A. and Arora, A. and Bagga, R. and Owusu-Ofori, A. K. and Ovosi, J. O. and Aliyu, S. and Saad, H. and Kanj, S. S. and Khanal, B. and Bhattarai, B. and Saha, S. K. and Uddin, J. and Barman, P. and Sharma, L. and El-Banna, T. and Zahra, R. and Saleemi, M. A. and Kaur, A. and Iregbu, K. and Uwaezuoke, N. S. and Abi Hanna, P. and Feghali, R. and Correa, A. L. and Munera, M. I. and Le, T. A. T. and Tran, T. T. N. and Phukan, C. and Phukan, C. and Valderrama-Beltr√°n, S. L. and Alvarez-Moreno, C. and Walsh, T. R. and Harbarth, S.</t>
  </si>
  <si>
    <t>Risk factors for mortality in patients with bloodstream infections during the pre-engraftment period after hematopoietic stem cell transplantation</t>
  </si>
  <si>
    <t>Stoma, I. and Karpov, I. and Milanovich, N. and Uss, A. and Iskrov, I.</t>
  </si>
  <si>
    <t>Epidemiology of Klebsiella pneumoniae bloodstream infections in a teaching hospital: factors related to the carbapenem resistance and patient mortality</t>
  </si>
  <si>
    <t>Tian, L. and Tan, R. and Chen, Y. and Sun, J. and Liu, J. and Qu, H. and Wang, X.</t>
  </si>
  <si>
    <t>Risk factors influencing clinical outcome in Staphylococcus aureus bacteraemia in a Turkish University Hospital</t>
  </si>
  <si>
    <t>Topeli, A. and Unal, S. and Akalin, H. E.</t>
  </si>
  <si>
    <t>[Impact of methicillin resistance on mortality and surveillance of vancomycin susceptibility in bacteremias caused by Staphylococcus aureus]</t>
  </si>
  <si>
    <t>Traverso, F. and Peluffo, M. and Louge, M. and Funaro, F. and Suasnabar, R. and Cepeda, R.</t>
  </si>
  <si>
    <t>Bloodstream infection due to Escherichia coli in liver cirrhosis patients: clinical features and outcomes</t>
  </si>
  <si>
    <t>Tu, B. and Bi, J. and Wu, D. and Zhao, P. and Shi, L. and Xie, Y. and Zhang, X. and Xu, Z. and Liu, S. and Wang, X. and Li, X. and Wang, F. and Qin, E.</t>
  </si>
  <si>
    <t>Risk factors for pan-resistant Pseudomonas aeruginosa bacteremia and the adequacy of antibiotic therapy</t>
  </si>
  <si>
    <t>Tuon, F. F. and Gortz, L. W. and Rocha, J. L.</t>
  </si>
  <si>
    <t>Risk factors for hospital-acquired bacteremia due to carbapenem-resistant Pseudomonas aeruginosa in a Colombian hospital</t>
  </si>
  <si>
    <t>Valderrama, S. L. and Gonz√°lez, P. F. and Caro, M. A. and Ardila, N. and Ariza, B. and Gil, F. and √Ålvarez, C.</t>
  </si>
  <si>
    <t>Risk factors and clinical outcomes for carbapenem-resistant Enterobacteriaceae nosocomial infections</t>
  </si>
  <si>
    <t>Wang, Q. and Zhang, Y. and Yao, X. and Xian, H. and Liu, Y. and Li, H. and Chen, H. and Wang, X. and Wang, R. and Zhao, C. and Cao, B. and Wang, H.</t>
  </si>
  <si>
    <t>Risk Factors for Carbapenem-resistant Klebsiella pneumoniae Infection and Mortality of Klebsiella pneumoniae Infection</t>
  </si>
  <si>
    <t>Wang, Z. and Qin, R. R. and Huang, L. and Sun, L. Y.</t>
  </si>
  <si>
    <t>Wei, J. and Zhu, Q. L. and Sun, Z. and Wang, C.</t>
  </si>
  <si>
    <t>A retrospective, comparative analysis of risk factors and outcomes in carbapenem-susceptible and carbapenem-nonsusceptible Klebsiella pneumoniae bloodstream infections: tigecycline significantly increases the mortality</t>
  </si>
  <si>
    <t>Xiao, T. and Yu, W. and Niu, T. and Huang, C. and Xiao, Y.</t>
  </si>
  <si>
    <t>A Retrospective Analysis of Risk Factors and Outcomes of Carbapenem-Resistant Klebsiella pneumoniae Bacteremia in Nontransplant Patients</t>
  </si>
  <si>
    <t>Xiao, T. and Zhu, Y. and Zhang, S. and Wang, Y. and Shen, P. and Zhou, Y. and Yu, X. and Xiao, Y.</t>
  </si>
  <si>
    <t>Investigation on outcomes and bacterial distributions of liver cirrhosis patients with gram-negative bacterial bloodstream infection</t>
  </si>
  <si>
    <t>Xie, Y. and Tu, B. and Zhang, X. and Bi, J. and Shi, L. and Zhao, P. and Chen, W. and Liu, S. and Xu, D. and Qin, E.</t>
  </si>
  <si>
    <t>Risk factors of bloodstream infections caused by vancomycin-resistant Enterococcus</t>
  </si>
  <si>
    <t>Xu, X. and Wu, S. and Xie, Y. and Chen, Z. and Ma, Y. and He, C. and Kang, M.</t>
  </si>
  <si>
    <t>Determinants of Mortality in Patients with Nosocomial Acinetobacter baumannii Bacteremia in Southwest China: A Five-Year Case-Control Study</t>
  </si>
  <si>
    <t>Yang, S. and Sun, J. and Wu, X. and Zhang, L.</t>
  </si>
  <si>
    <t>Frequency and clinical outcomes of ESKAPE bacteremia in solid organ transplantation and the risk factors for mortality</t>
  </si>
  <si>
    <t>Ye, Q. F. and Zhao, J. and Wan, Q. Q. and Qiao, B. B. and Zhou, J. D.</t>
  </si>
  <si>
    <t>Mortality predictors of Staphylococcus aureus bacteremia: a prospective multicenter study</t>
  </si>
  <si>
    <t>Yilmaz, M. and Elaldi, N. and Balkan, ƒ∞ƒ∞ and Arslan, F. and Batƒ±rel, A. A. and Bakƒ±cƒ±, M. Z. and Gozel, M. G. and Alkan, S. and √áelik, A. D. and Yetkin, M. A. and Bodur, H. and Sƒ±nƒ±rta≈ü, M. and Akalƒ±n, H. and Altay, F. A. and ≈ûencan, ƒ∞ and Azak, E. and G√ºnde≈ü, S. and Ceylan, B. and √ñzt√ºrk, R. and Leblebicioglu, H. and Vahaboglu, H. and Mert, A.</t>
  </si>
  <si>
    <t>Risk Factors for Carbapenem-Resistant Klebsiella pneumoniae Bloodstream Infections and Outcomes</t>
  </si>
  <si>
    <t>Yuan, Y. and Wang, J. and Yao, Z. and Ma, B. and Li, Y. and Yan, W. and Wang, S. and Ma, Q. and Zhang, J. and Xu, J. and Li, L. and Wang, Y. and Fan, E.</t>
  </si>
  <si>
    <t>Epidemiology, mortality and risk factors for patients with K. pneumoniae bloodstream infections: Clinical impact of carbapenem resistance in a tertiary university teaching hospital of Beijing</t>
  </si>
  <si>
    <t>Zhang, G. and Zhang, M. and Sun, F. and Zhou, J. and Wang, Y. and Zhu, D. and Chen, Z. and Chen, Q. and Chang, Q. and Liu, H. and Chai, W. and Pan, H.</t>
  </si>
  <si>
    <t>Clinical outcome of Escherichia coli bloodstream infection in cancer patients with/without biofilm formation: a single-center retrospective study</t>
  </si>
  <si>
    <t>Zhang, Q. and Gao, H. Y. and Li, D. and Li, Z. and Qi, S. S. and Zheng, S. and Bai, C. S. and Zhang, S. H.</t>
  </si>
  <si>
    <t>Incidence, clinical characteristics, and outcomes of nosocomial Enterococcus spp. bloodstream infections in a tertiary-care hospital in Beijing, China: a four-year retrospective study</t>
  </si>
  <si>
    <t>Zhang, Y. and Du, M. and Chang, Y. and Chen, L. A. and Zhang, Q.</t>
  </si>
  <si>
    <t>Risk Factors for Mortality of Inpatients with Pseudomonas aeruginosa Bacteremia in China: Impact of Resistance Profile in the Mortality</t>
  </si>
  <si>
    <t>Zhang, Y. and Li, Y. and Zeng, J. and Chang, Y. and Han, S. and Zhao, J. and Fan, Y. and Xiong, Z. and Zou, X. and Wang, C. and Li, B. and Li, H. and Han, J. and Liu, X. and Xia, Y. and Lu, B. and Cao, B.</t>
  </si>
  <si>
    <t>Risk Factors and Outcomes of Antibiotic-resistant Pseudomonas aeruginosa Bloodstream Infection in Adult Patients With Acute Leukemia</t>
  </si>
  <si>
    <t>Zhao, Y. and Lin, Q. and Liu, L. and Ma, R. and Chen, J. and Shen, Y. and Zhu, G. and Jiang, E. and Mi, Y. and Han, M. and Wang, J. and Feng, S.</t>
  </si>
  <si>
    <t>Risk factors, outcomes and genotypes of carbapenem-nonsusceptible Klebsiella pneumoniae bloodstream infection: a three-year retrospective study in a large tertiary hospital in Northern China</t>
  </si>
  <si>
    <t>Zheng, S. H. and Cao, S. J. and Xu, H. and Feng, D. and Wan, L. P. and Wang, G. J. and Xiao, X. G.</t>
  </si>
  <si>
    <t>Clinical and molecular characteristics, risk factors and outcomes of Carbapenem-resistant Klebsiella pneumoniae bloodstream infections in the intensive care unit</t>
  </si>
  <si>
    <t>Zheng, X. and Wang, J. F. and Xu, W. L. and Xu, J. and Hu, J.</t>
  </si>
  <si>
    <t>Risk factors for acquisition and mortality of multidrug-resistant Acinetobacter baumannii bacteremia: A retrospective study from a Chinese hospital</t>
  </si>
  <si>
    <t>Zhou, H. and Yao, Y. and Zhu, B. and Ren, D. and Yang, Q. and Fu, Y. and Yu, Y. and Zhou, J.</t>
  </si>
  <si>
    <t>Analysis of antibiotic resistance in the staphylococcus aureus strains isolated from bloodstream infections and associated patient outcome</t>
  </si>
  <si>
    <t>Zhu, C. and Liu, C. and Wu, B. and Wu, Q. and Huang, D.</t>
  </si>
  <si>
    <t>Antimicrobial resistance in bacterial pathogens among hospitalised patients with severe invasive infections</t>
  </si>
  <si>
    <t>Zlatian, O. and Balasoiu, A. T. and Balasoiu, M. and Cristea, O. and Docea, A. O. and Mitrut, R. and Spandidos, D. A. and Tsatsakis, A. M. and Bancescu, G. and Calina, D.</t>
  </si>
  <si>
    <t>Blood urea nitrogen to serum albumin ratio independently predicts 30-day mortality and severity in patients with Escherichia coli bacteraemia</t>
  </si>
  <si>
    <t>Zou, X. L. and Feng, D. Y. and Wu, W. B. and Yang, H. L. and Zhang, T. T.</t>
  </si>
  <si>
    <t>Bacteraemia due to AmpC Œ≤-lactamase-producing Escherichia coli in hospitalized cancer patients: risk factors, antibiotic therapy, and outcomes</t>
  </si>
  <si>
    <t>Zhang, Q. and Zhang, W. and Li, Z. and Bai, C. and Li, D. and Zheng, S. and Zhang, P. and Zhang, S.</t>
  </si>
  <si>
    <t>[Antibiotic Resistance and Risk Factors for Mortality of Blood Stream Infections (BSIs) with Escherichia coli in Patients with Hematological Malignancies]</t>
  </si>
  <si>
    <t>Zhang, W. L. and Huang, J. and Wu, S. Y. and Liu, Y. and Long, F. and Xiao, Y. L. and Xie, Y. and He, C. and Kang, M.</t>
  </si>
  <si>
    <t>The risk factors associated with bloodstream infections caused by multi-drug resistant acinetobacter baumannii</t>
  </si>
  <si>
    <t>Zhang, Y. and Zhu, W. and Zhang, J. and Chen, B.</t>
  </si>
  <si>
    <t>Second hospital of Hebei Medical University, which is a grade III, class A university affiliated hospital in Shijiazhuang, Hebei prov- ince in North China with 2800 beds.</t>
  </si>
  <si>
    <t xml:space="preserve">15 provincial hospitals in Northeast Thailand </t>
  </si>
  <si>
    <t>Tertiary public hospital in Rio de Janeiro</t>
  </si>
  <si>
    <t>Private University Hospital (400 beds)</t>
  </si>
  <si>
    <t>University-affiliated tertiary teaching hospital with three separate departments for onco-hematological disorders and a department for hematopoietic stem cell transplantation</t>
  </si>
  <si>
    <t>Tertiary Hospital of West China</t>
  </si>
  <si>
    <t>Patients aged &gt; = 18 years, with at least one blood culture positive for A. baumannii complex</t>
  </si>
  <si>
    <t>Jinling Hospital, Nanjing, China</t>
  </si>
  <si>
    <t>Patients with KPB who had at least one positive blood culture for KP and exhibited clinical symp- toms consistent with bacteremia were considered for the in- clusion in the study.</t>
  </si>
  <si>
    <t>13  tertiary-care hospitals with more than 1500 beds, equivalent quality controls, skilled facilities and qualified specialties</t>
  </si>
  <si>
    <t>Lopez-Luis, B. A. and Sifuentes-Osornio, J. and Lambra√±o-Castillo, D. and Ortiz-Brizuela, E. and Ram√≠rez-Fontes, A. and Tovar-Calder√≥n, Y. E. and Leal-Vega, F. J. and Bobadilla-Del-Valle, M. and Ponce-de-Le√≥n, A.</t>
  </si>
  <si>
    <t>A 225-bed tertiary-care hospital in Mexico City</t>
  </si>
  <si>
    <t>Hematological patients aged ≥14 years were enrolled if they had at least 1 episode of E coli bacteremia.</t>
  </si>
  <si>
    <t>Hospital of Zhengzhou University, Henan Province,</t>
  </si>
  <si>
    <t>African Region</t>
  </si>
  <si>
    <t>A 624-bed university hospital, located in the state of São Paulo</t>
  </si>
  <si>
    <t>All patients for whom blood culture results were positive for K. pneu- moniae from January 1996 to May 2001 were eligible for inclusion</t>
  </si>
  <si>
    <t>Adult patients older than 16 years of age in a tertiary hospital with 465 beds, covering the period January 1, 2011 to September 1, 2017.</t>
  </si>
  <si>
    <t>Erciyes University Gevher Nesibe Hospital, a tertiary care hospital with 1300 beds in Kayseri</t>
  </si>
  <si>
    <t>Patients &gt;16 years of age, had at least one blood culture positive for Acb complex, and had clinical signs of systemic infection</t>
  </si>
  <si>
    <t>Lebanon</t>
  </si>
  <si>
    <t>Makassed General Hospital, a 200-bed university hospital in Beirut</t>
  </si>
  <si>
    <t>Adult cancer patients with fever and neutropenia, includ- ing those undergoing Hematopoietic Stem Cell Transplantation (HSCT), with positive blood cultures were selected</t>
  </si>
  <si>
    <t>Hospital Sao Paulo, a 660-bed university-affiliated hospital</t>
  </si>
  <si>
    <t>Oxacilin</t>
  </si>
  <si>
    <t>Patients 18 years and above who had experienced bloodstream infection with E. coli during five years from Jan 2013 through Dec 2017.</t>
  </si>
  <si>
    <t>First Affiliated Hospital, College of Medicine, Zhejiang University,</t>
  </si>
  <si>
    <t>Adults hospitalized patients with P. aeruginosa (PA) infections</t>
  </si>
  <si>
    <t>2,200-bed, tertiary-care, uni- versity hospital in Bangkok,</t>
  </si>
  <si>
    <t>University hospital in Brazil from January 1, 2010, to December 31, 2010</t>
  </si>
  <si>
    <t>Rao C, Benu Dhawan, Sreenivas Vishnubhatla, Arti Kapill, Bimal Das, Seema Sood</t>
  </si>
  <si>
    <t>Clinical and molecular epidemiology of vancomycin-resistant Enterococcus faecium bacteremia from an Indian tertiary hospita</t>
  </si>
  <si>
    <t>Tertiary hospital in New Delhi</t>
  </si>
  <si>
    <t>Tertiary care hospital in Addis Ababa</t>
  </si>
  <si>
    <t>Ethiopia</t>
  </si>
  <si>
    <t>Low Income</t>
  </si>
  <si>
    <t>University Konya Medical and Research Center, a 200-bed academic tertiary care center, in Konya,</t>
  </si>
  <si>
    <t>All adult patients (≥18 years old) whose blood cultures grew ESBL–EK during the study period were included</t>
  </si>
  <si>
    <t>475 consecutive adult pa- tients undergoing ¢rst successful LTs between January 2003 and December 2006</t>
  </si>
  <si>
    <t>Tertiary-care university-a⁄li- ated hospital with 2000 beds</t>
  </si>
  <si>
    <t>Division of Infectious Diseases and HIV Medicine at Groote Schuur Hospital</t>
  </si>
  <si>
    <t>South Africa</t>
  </si>
  <si>
    <t>The Republican Center for Hematology and Bone Marrow Transplantation is a national clinical and research center for adult patients located in Minsk (150 beds)</t>
  </si>
  <si>
    <t>Belarus</t>
  </si>
  <si>
    <t>Patients aged 18–70 years undergoing HSCT (hematopoietic stem cell transplantation) from January 2013 to October 2015</t>
  </si>
  <si>
    <t>A 1800-bed tertiary care university teaching hospital in Shanghai,</t>
  </si>
  <si>
    <t>All KP-BSI patients between January 1, 2011, and December 31, 2015.</t>
  </si>
  <si>
    <t>A 1000-bed teaching hospital with an average of 18 000 adult ad- missions per year, four intensive care units (medical, surgical, neurosurgical and thoracic-cardiovascular), a burns unit</t>
  </si>
  <si>
    <t>All adult patients with documented bacteraemia due to S. aureus between 1.5.1990 and 31.10.1994</t>
  </si>
  <si>
    <t>All adults aged 50 and over</t>
  </si>
  <si>
    <t>Chacabuco Hospital (clinic)</t>
  </si>
  <si>
    <t>Beijing 302 Hospital</t>
  </si>
  <si>
    <t>All adults diagnosed with decompensated liver cirrhosis infected with EC</t>
  </si>
  <si>
    <t>Tertiary-care hospital in Curitiba (660 bed)</t>
  </si>
  <si>
    <t>All the patients older than 18 years with bacteremia caused by P. aeruginosa from February, 2006 to January, 2009 were included</t>
  </si>
  <si>
    <t>Tertiary care hospital (350 beds)</t>
  </si>
  <si>
    <t>Adults +18 yo</t>
  </si>
  <si>
    <t>Peking University People’s Hospital (PKUPH) is a 1,500-bed tertiary-care teaching hospital, with approximately 68,000 hospi- tal admissions per year.</t>
  </si>
  <si>
    <t>Adults hospitalized in the two hospitals from October 2010 to November 2014.</t>
  </si>
  <si>
    <t>A tertiary care teaching hospital with 1600 bed</t>
  </si>
  <si>
    <t>Adult inpatients (age ≥18 years) with positive cultures of KP (48 h after admission)</t>
  </si>
  <si>
    <t>The impact of carbapenem-resistance Pseudomonas aeruginosa infections on mortality of patients with hematological disorders</t>
  </si>
  <si>
    <t xml:space="preserve"> 2500- bed teaching hospital in Eastern China</t>
  </si>
  <si>
    <t>2500-bed teaching hospital in Eastern China</t>
  </si>
  <si>
    <t>All Patients with KP-BSI enrolled from January 2013 to December 2015.</t>
  </si>
  <si>
    <t>Patients who were hospitalized for liver cirrhosis and developed to gram-negative bacterial bloodstream infection</t>
  </si>
  <si>
    <t>Beijing Hosptal</t>
  </si>
  <si>
    <t>Hospital of Chongqing Medical University</t>
  </si>
  <si>
    <t>Adults aged 18 and over</t>
  </si>
  <si>
    <t>Hospital</t>
  </si>
  <si>
    <t>Tertiary university referral hospitals in Wuhan</t>
  </si>
  <si>
    <t>All patients</t>
  </si>
  <si>
    <t>Eight participant hospital centers</t>
  </si>
  <si>
    <t>All consecutive patients (15 years and over) with signs and symptoms of bacteremia with positive blood cultures for S. aureus were included in this study</t>
  </si>
  <si>
    <t>A tertiary care teaching hospital with 5000 beds,</t>
  </si>
  <si>
    <t>All patients with a first episode of CRKP BSI diagnosed during the study period</t>
  </si>
  <si>
    <t>2,000-bed tertiary university teaching hospital with 94 intensive care unit (ICU) beds.</t>
  </si>
  <si>
    <t>All patients with BSI caused by K. pneumoniae, both CRKP and CSKP</t>
  </si>
  <si>
    <t>Tianjin Medical University Cancer Institute and Hospital</t>
  </si>
  <si>
    <t>All hospitalized cancer patients (+18 yo) with the first episode of BSI were included in the study.</t>
  </si>
  <si>
    <t>A 2,200-bed tertiary-level healthcare hospital in Beijing</t>
  </si>
  <si>
    <t>All patients aged ≥18 years with at least 1 positive blood culture for Enterococcus spp.</t>
  </si>
  <si>
    <t>A 767-bed blood diseases hospital in Tianjin</t>
  </si>
  <si>
    <t>A 3700-bed tertiary-care hospital in northern China</t>
  </si>
  <si>
    <t>A 2500-bed tertiary-care teaching hospital</t>
  </si>
  <si>
    <t>All adult patients with BSI caused by K. pneumoniae and hospitalized in the 30-bed medical ICU from January 1, 2013 to December 31, 2014</t>
  </si>
  <si>
    <t>A 2000-bed referral hospital in Hangzhou</t>
  </si>
  <si>
    <t>Adult inpatients hospitalized &gt;3 days with bacteremia due to A baumannii and having symptoms and signs of infection were included in the study</t>
  </si>
  <si>
    <t>Romania</t>
  </si>
  <si>
    <t>Clinical Emergency Hospital of Craiova</t>
  </si>
  <si>
    <t>Hospital of Sun Yat-sen University</t>
  </si>
  <si>
    <t>Patients who had clinical manifestations of BSI, such as fever and shaking chills at the same time (with Ecoli blood culture)</t>
  </si>
  <si>
    <t>Cefotaxime, ceftazidime, aztreonam</t>
  </si>
  <si>
    <t xml:space="preserve">Urinary tract </t>
  </si>
  <si>
    <t>Urinary tract</t>
  </si>
  <si>
    <t>22.7 (8.5)</t>
  </si>
  <si>
    <t>APACHE II score (SD)</t>
  </si>
  <si>
    <t>17.8 (5.4)</t>
  </si>
  <si>
    <t xml:space="preserve">Survival is measured at 12 weeks after onset of bacteraemia, reported no differences in commorbidities </t>
  </si>
  <si>
    <t>Prior surgery (n)</t>
  </si>
  <si>
    <t>Community acquired (n)</t>
  </si>
  <si>
    <t>Pneumonia or respiratory</t>
  </si>
  <si>
    <t>IV (intravenous) cathether or vascular</t>
  </si>
  <si>
    <t>2012COP: 31,830.38</t>
  </si>
  <si>
    <t>2012COP: 24,412.69</t>
  </si>
  <si>
    <t>Patients aged 15 or older at the ICU units</t>
  </si>
  <si>
    <t>A 510-bed tertiary teaching hospital</t>
  </si>
  <si>
    <t xml:space="preserve">Patients with with stage II or greater Pressure ulcers </t>
  </si>
  <si>
    <t>16 public and private reference health care institutions in Bogotá</t>
  </si>
  <si>
    <t>In-patients at least 16 years of age at participating institutions in January 2005–December 2008</t>
  </si>
  <si>
    <t>10 referral centers specialized in the assistance of oncological and transplant patients in Argentina.</t>
  </si>
  <si>
    <t>Adults patients (≥ 18 years of age) man- aged as inpatients from May 2014 to November 2016 were included, in patients with: a) solid or hematological malig- nancies treated with chemotherapy or biological agents (six months prior to admission), or if they had been receiving steroids (dose equal or higher to prednisone 20mg daily or equivalent, for at least two weeks prior to admission); or b) HSCT patients, either allogeneic (with graft versus host dis- ease at any time or without this disease in the first two years) or autologous (in the first year post-transplant)</t>
  </si>
  <si>
    <t>Multiple</t>
  </si>
  <si>
    <t>All hospitalised patients</t>
  </si>
  <si>
    <t>All patients, neonates were excluded</t>
  </si>
  <si>
    <t>Army General Hospital is the biggest military tertiary teaching hospital (3500-beds and around 100 000 inpatients per year.)</t>
  </si>
  <si>
    <t>Undetermined or others</t>
  </si>
  <si>
    <t>Cardiovascular or heart disease (n)</t>
  </si>
  <si>
    <t>All patients above 12 yo</t>
  </si>
  <si>
    <t>Any patient</t>
  </si>
  <si>
    <t>Hospital University</t>
  </si>
  <si>
    <t>Meropenem or imipenem</t>
  </si>
  <si>
    <t>Ertapenem, meropenem and imipenem</t>
  </si>
  <si>
    <t>All patients with HA GN-BSIs in these centres in 2013 were included in the study</t>
  </si>
  <si>
    <t>All patients with nosocomial P. aeruginosa bacteremia from May 2009 to December 2012</t>
  </si>
  <si>
    <t>All Patients with positive blood culture</t>
  </si>
  <si>
    <t>Imipenem and meropenem</t>
  </si>
  <si>
    <t>Patients age&gt;18 years at time of trans- plant, and autologous or allogeneic transplant</t>
  </si>
  <si>
    <t>Pseudomonas aeruginosa, Klebsciella Pneumoniae, Acinetobacter baumanii, E. faecium, E. Faecalis, Staphylococcus aureus</t>
  </si>
  <si>
    <t>Geriatric inpatients older than 65 yo</t>
  </si>
  <si>
    <t>XDR</t>
  </si>
  <si>
    <t>Enterococcus faecalis</t>
  </si>
  <si>
    <t>All patients who had nosocomial VRE bloodstream infection between January 2000 and December 2002</t>
  </si>
  <si>
    <t>SDR</t>
  </si>
  <si>
    <t>SDR, MDR, XDR</t>
  </si>
  <si>
    <t xml:space="preserve">All patients who had developed bacteremia due to at least one MDRGN isolate </t>
  </si>
  <si>
    <t>Ceftazidime and cefepime, imipenem, piperacillin-tazobactam</t>
  </si>
  <si>
    <t>Klebsiella pneumoniae, Pseudomonas aeruginosa, Citrobacter freudii, Acinetobacter spp, Enterobacter spp, Escherichia coli</t>
  </si>
  <si>
    <t>MDR</t>
  </si>
  <si>
    <t>Neutropenic and nonneutropenic patients</t>
  </si>
  <si>
    <t>Escherichia coli, Klebsciella Pneumoniae, Pseudomonas aureginosa, Acinetobacter baumanii</t>
  </si>
  <si>
    <t>Age was weighted accordingly, APACHE II presented non statistical significance, so we assume its 10 for both groups.</t>
  </si>
  <si>
    <t>17 public and private tertiary hospitals</t>
  </si>
  <si>
    <t>Hospitalised patients aged &gt;18 years old in need of intensive care</t>
  </si>
  <si>
    <t>Aminoglycosides, antipseudomonal penicillins, carbapenems, cephalosporins, and quinolones</t>
  </si>
  <si>
    <t>Patients with positive blood cultures &gt;16 yo, collected between 2012 and 2016</t>
  </si>
  <si>
    <t>Escherichia coli, Klebsiella spp. and Enterobacter</t>
  </si>
  <si>
    <t>ESBL</t>
  </si>
  <si>
    <t>Pseudomonas aeruginosa, Acinetobacter baumanii.</t>
  </si>
  <si>
    <t>Staphylococcus aureus, Enterococcus faecium</t>
  </si>
  <si>
    <t>Methilicin, vancomycin</t>
  </si>
  <si>
    <t>A 135-bed cancer referral center in Mexico City</t>
  </si>
  <si>
    <t>All patients with positive blood cultures detected and recorded</t>
  </si>
  <si>
    <t>A tertiary referral colligates hospital in Tehran</t>
  </si>
  <si>
    <t>All cases of positive blood cultures with Enterococcus spp.</t>
  </si>
  <si>
    <t xml:space="preserve"> Sindh Institute of Urology and Transplantation (SIUT) in Karachi (500-bed urban tertiary care hospital.)</t>
  </si>
  <si>
    <t>All hospitalized patients &gt;15 years of age, admitted under the nephrology, urology, gastroenterology, oncology and intensive care services with BSI confirmed</t>
  </si>
  <si>
    <t>Klebsciella pneumoniae, Escherichia coli, pseudomonas aureginosa, acinetobacter baumanii, oochrobacter, citrobacter and brevendimonas vesicularis, stenotrophomonas</t>
  </si>
  <si>
    <t>1800-bed tertiary care university teaching hospital in Shanghai</t>
  </si>
  <si>
    <t>All patients with KP bacteremia</t>
  </si>
  <si>
    <t>Aminoglycosides (amikacin, gentamicin, or netilmicin), fluoroquinolones (ofloxacin or ciprofloxacin), and cephalosporins (cefazolin, cefotaxime, cefox- itin, ceftriaxone, ceftazidime, or cefepime)</t>
  </si>
  <si>
    <t>3,200-bed tertiary university-affiliated hospital located in Southwest China.</t>
  </si>
  <si>
    <t>imipenem, meropenem</t>
  </si>
  <si>
    <t>imipenem, meropenem, or ertapenem</t>
  </si>
  <si>
    <t>All cases of bloodstream in- fections with Enterobacteriaceae that occurred during the period between January 2013 and October 2015</t>
  </si>
  <si>
    <t>All the adult inpa- tients (age ≥ 18 years) with positive blood cultures of KP, both CRKP and CSKP, who met diagnostic criteria of BSI according to the CDC / NHSN standard</t>
  </si>
  <si>
    <t>All patients with sepsis whose blood and other samples’ cultures were collected and antimicrobial therapy was instituted, for two or more days, in an adult clinical-surgical ICU</t>
  </si>
  <si>
    <t>Acinetobacter baumanii, Peseudomonas aeruginosa, Enterobacteriacae, Klebsciella Pneumoniae, S maltophilia, B cepacia, P mirabilis, K arogenes, P stuarti, S marcesens</t>
  </si>
  <si>
    <t>All patients having positive blood cultures between 2015-2018</t>
  </si>
  <si>
    <t>imipenem, meropenem o ertapenem</t>
  </si>
  <si>
    <t>Enterobacteriaceae (enterobacter cloacae, Klebsciella pneumoniae, Escherichia coli, Serratia marcesens, citrobacter freundii)</t>
  </si>
  <si>
    <t>All patients who were admitted to the onco-hematology departments were enrolled if they had one episode of K. pneumoniae bacteremia</t>
  </si>
  <si>
    <t xml:space="preserve">Aminoglycosides, anti-pseudomonal penicillins, carbapenems, cephalosporins, and quinolones </t>
  </si>
  <si>
    <t>Look at the tables provided in the supplementary material for the information</t>
  </si>
  <si>
    <t>imipenem</t>
  </si>
  <si>
    <t>All patients with CRAB or CSAB</t>
  </si>
  <si>
    <t>Patients aged &gt;18 years with at least one episode of E. faecium or E. faecalis bacteraemia</t>
  </si>
  <si>
    <t>Imipenem,Ertapenem,Amikacin Piperacillin/tazobatam Cefoperazone/sulbactam Cefepime, Cefazidime Gentamicin, Aztreonam SMZ-TMP Levofloxacin Cefatriaxone</t>
  </si>
  <si>
    <t>Carbapenems</t>
  </si>
  <si>
    <t>15day mortality was used</t>
  </si>
  <si>
    <t>Meneküe and √áaƒü, Y. and I≈üƒ±k, M. E. and ≈ûahin, S. and Hacƒ±seyitoƒülu, D. and Can, F. and Ergonul, O.</t>
  </si>
  <si>
    <t>S. pneumoniae, S. aureus, Ncons, E. faecium, A. viridans , E. coli, Klebsiella spp., Pseudomonas aureginosa, P.mirabilis, Enterobacter, S. maltophilia, A. baumannii, Salmonella spp.</t>
  </si>
  <si>
    <t>Alll patients with hospital infections (BSI)</t>
  </si>
  <si>
    <t>Hospital not specified</t>
  </si>
  <si>
    <t>Patients evaluated in this study included those with A. baumannii BSI hospitalized from January 2012 to December 2015</t>
  </si>
  <si>
    <t>Gentamicin, Amikacin, Netilmicin, Imipenem, Meropenem, Doripenem, Ceftazidime, Cefipime,Ciprofloxacin,Pip_tazobactam,Colistin</t>
  </si>
  <si>
    <t>Mortality was calculated based on the rates the article provided (where they used a matched control design)</t>
  </si>
  <si>
    <t>Enterococcus faecium</t>
  </si>
  <si>
    <t>Ceftriaxone; CTX, Cefotaxime</t>
  </si>
  <si>
    <t>Adult patients were recruited when there was a clinical suspicion of septicaemi</t>
  </si>
  <si>
    <t>Enterobacteriaceae (Escherichia coli and Klebsiella Pneumoniae)</t>
  </si>
  <si>
    <t xml:space="preserve">S. maltophilia, Enterobacteriaceae, O. anthropi, Pseudo- monas species, and A. baumanii. </t>
  </si>
  <si>
    <t>Aztreonam, Piperacillin-tazobactam, Cipro£oxacin,Gentamicin,Ceftriaxone, Ceftazidime, Cefepime, Cefoperazone-sulbactam, Imipenem, Trimethoprim-sulfamethoxazole</t>
  </si>
  <si>
    <t>All patients having blood culture specimens collected for clinical purposes during July 2016 and Febru- ary 2017 were included.</t>
  </si>
  <si>
    <t>Salmonella spp.</t>
  </si>
  <si>
    <t>CARBAPENEMS and CEPHALOSPORINS</t>
  </si>
  <si>
    <t>Fluoroquinolone</t>
  </si>
  <si>
    <t>Inpatients at Groote Schuur Hospital over 13 years of age, with a pure growth of S. aureus in one or more blood cultures.</t>
  </si>
  <si>
    <t>Tertiary hospital with 465 beds</t>
  </si>
  <si>
    <t>India, Egypt, Nigeria, Colombia, Ghana, Pakistan, Lebanon, Vietnam, Bangladesh</t>
  </si>
  <si>
    <t>Tertiary-level hospital according to WHO definition</t>
  </si>
  <si>
    <t>Enterobacteriaceae (Escherichia coli, Klebsiella Pneumoniae, and others)</t>
  </si>
  <si>
    <t>Ertapenem, meropenem, imipenem, and colistin</t>
  </si>
  <si>
    <t>Inverse prob weighting techniques were used to adjust the model by population size</t>
  </si>
  <si>
    <t>Adult patients with microbiologically proven BSI in the pre-en- graftment period after HSCT (hematopoietic stem cell transplantation)</t>
  </si>
  <si>
    <t>Acinetobacter baumannii or Pseudomonas aeruginosa</t>
  </si>
  <si>
    <t>MRSA was not significant (pvalue&gt;0.1)</t>
  </si>
  <si>
    <t>ESBL was not significant (pvalue&gt;0.1)</t>
  </si>
  <si>
    <t>Previous hospitalisation (n)</t>
  </si>
  <si>
    <t>IV (intravenous) cathether or vascular (primary)</t>
  </si>
  <si>
    <t>Enterobacteriaceae (Citrobacter braakii, Citrobacter freundii, Enterobacter aerogenes, Enterobacter cloacae, Escherichia coli, Klebsiella oxytoca, Klebsiella pneumoniae, Serratia marcescens, Raoultella ornithinolytica, Raoultella planticola)</t>
  </si>
  <si>
    <t>Patients&gt;16 yo who were treated for BSI caused by KP (KP-BSI) between January 1, 2013, and December 31, 2015.</t>
  </si>
  <si>
    <t>Escherichia coli, Klebsciella Pneumoniae, Pseudomonas aureginosa, Acinetobacter baumanii, Enterobacter cloacae, Aeromonas species, Stenotrophomonas maltophilia</t>
  </si>
  <si>
    <t>Cefepime, Cefoperazone, Cefotaxime, Ceftazidime, Ceftriaxone, Gatifloxacin, Levofloxacin, Imipenem, Meropenem, Piperacillin/tazobactam, Cefperazone/sulbactam, Amikacin</t>
  </si>
  <si>
    <t>ESKAPE (Enterococcus faecium, Staphylococcus aureus, Klebsiella pneumoniae, Acinetobacter baumannii, Pseudomonas
aeruginosa, and Enterobacter)</t>
  </si>
  <si>
    <t>Extracted some relevant data from the text</t>
  </si>
  <si>
    <t>Enterococcus spp (faecium and faecalis primarily, but also E. casseliflavus, E. gallinarum, E. avium)</t>
  </si>
  <si>
    <t>Patients with blood cultures positive for P. aeruginosa</t>
  </si>
  <si>
    <t>Hospitals (multicentre), we only used the subsample analysis in which the CJFH was evaluated for antimicrobial resistance</t>
  </si>
  <si>
    <t>All patients with carbape- nem-non-susceptible K. pneumoniae BSI or the controls: patients with carbapenem-susceptible K. pneumoniae BSI.</t>
  </si>
  <si>
    <t>Intrabdominal (gastrointestinal), skin and soft tissues, billiary</t>
  </si>
  <si>
    <t>13.91 (7.94)</t>
  </si>
  <si>
    <t>18.91 (6.98)</t>
  </si>
  <si>
    <t>15.03 (6.38)</t>
  </si>
  <si>
    <t>18.18 (7.48)</t>
  </si>
  <si>
    <t>Gentamycin , Tobramycin, Amikacin, Imipenem, Ciprofloxacin Levofloxacin, Piperacillin-tazo- bactam, cefoperazone-sulbactam, Ampicillin- sulbactam, Ceftriaxone, Ceftazidime, Cefepime, Trimethoprim-sulphamethoxazole, Tigecycline</t>
  </si>
  <si>
    <t>All blood cultures collected between September 1, 2016 and July 31, 2017 from the patients in the Emergency hospital</t>
  </si>
  <si>
    <t>Tianjin Medical Uni- versity Cancer Institute and Hospital, a 2400 bed tertiary care cancer center in China</t>
  </si>
  <si>
    <t>Patients (+18 yo) who were diagnosed with cancer and who also had an episode of E. coli bacteraemia between September 2012 and December 2015</t>
  </si>
  <si>
    <t>FirstAuthorYear</t>
  </si>
  <si>
    <t>Abhilash, K.P., B. Veeraraghavan and O. C. Abraham</t>
  </si>
  <si>
    <t>Abolghasemi, S. , Z. Madadi and M. Mardani</t>
  </si>
  <si>
    <t>Akhtar, N., F. Sultan, S. Nizamuddin and W. Zafa</t>
  </si>
  <si>
    <t>Anunnatsiri, S. and P. Tonsawan</t>
  </si>
  <si>
    <t>De-Oliveira Conterno, S. B. Wey and A. Castelo</t>
  </si>
  <si>
    <t>ID_2</t>
  </si>
  <si>
    <t>Excess mortality reported, the number of excess deaths was calculated using the information provided in the supplementary material (Table 2) for the number of BSI caused by MDR organisms and the excess death rate.</t>
  </si>
  <si>
    <t>Enterobacter spp</t>
  </si>
  <si>
    <t>Enterebactericiae, Klebsiella Pneumoniae, Acinetobacter baumanii, Pseudomonas Aureginosa, Stenotrophomonas maltophilia, Burkholderia cepacea, Aeromonas</t>
  </si>
  <si>
    <t>Pitt Bacteremia Score</t>
  </si>
  <si>
    <t>hermatologic disease (n)</t>
  </si>
  <si>
    <t>Any comorbidity (n)</t>
  </si>
  <si>
    <t>Liver disease (n)</t>
  </si>
  <si>
    <t>Kidney or renal disease (n)</t>
  </si>
  <si>
    <t>Length of Stay at onset bacteremia [Mean]</t>
  </si>
  <si>
    <t>Duration ICU stay [Mean]</t>
  </si>
  <si>
    <t>Pulmonary/respiratory disease (n)</t>
  </si>
  <si>
    <t>Solid tumour/malignancy (n)</t>
  </si>
  <si>
    <t>*95% CI not reported but pvalue=0.03</t>
  </si>
  <si>
    <t>18.53 (6.86)</t>
  </si>
  <si>
    <t>17.24 (5.23)</t>
  </si>
  <si>
    <t>Ampicillin, Ceftizoxime</t>
  </si>
  <si>
    <t>Third generation cephalosporins, Carbapenems, Quinolones</t>
  </si>
  <si>
    <t>PENICILIN, CEPHALOSPORIN</t>
  </si>
  <si>
    <t>CARBAPENEMS, CEPHALOSPORIN, QUINOLONE</t>
  </si>
  <si>
    <t>Notes: undetermined or others= (immunosuppressant use</t>
  </si>
  <si>
    <t>Abhilash, 2010</t>
  </si>
  <si>
    <t>Abolghasemi, 2018</t>
  </si>
  <si>
    <t>Akhtar, 2016</t>
  </si>
  <si>
    <t>Anunnatsiri, 2011</t>
  </si>
  <si>
    <t>Arias-Ortiz, 2016</t>
  </si>
  <si>
    <t>Atmaca, 2014</t>
  </si>
  <si>
    <t>Barrero, 2014</t>
  </si>
  <si>
    <t>Braga, 2013</t>
  </si>
  <si>
    <t>Castillo 2012</t>
  </si>
  <si>
    <t>Carena, 2020</t>
  </si>
  <si>
    <t>Chang, 2020</t>
  </si>
  <si>
    <t>Chen, 2012</t>
  </si>
  <si>
    <t>Chusri 2019</t>
  </si>
  <si>
    <t>Conterno 1998</t>
  </si>
  <si>
    <t>Dantas 2017</t>
  </si>
  <si>
    <t>Deodhar 2015</t>
  </si>
  <si>
    <t>De-Oliveira 2002</t>
  </si>
  <si>
    <t>Deris, 2011</t>
  </si>
  <si>
    <t>Durdu, 2016</t>
  </si>
  <si>
    <t>Ergönül, 2016</t>
  </si>
  <si>
    <t>Ferreira, 2018</t>
  </si>
  <si>
    <t>Fu, 2015</t>
  </si>
  <si>
    <t>Furtado, 2006</t>
  </si>
  <si>
    <t>Garnica, 2009</t>
  </si>
  <si>
    <t>Gaytán, 2006</t>
  </si>
  <si>
    <t>Ghafur, 2014</t>
  </si>
  <si>
    <t>González, 2014</t>
  </si>
  <si>
    <t>Guo, 2016</t>
  </si>
  <si>
    <t>Hincapié, 2020</t>
  </si>
  <si>
    <t>Islas-Muñoz, 2018</t>
  </si>
  <si>
    <t>Jamulitrat, 2009</t>
  </si>
  <si>
    <t>Kalam, 2014</t>
  </si>
  <si>
    <t>Li, 2019</t>
  </si>
  <si>
    <t>Li, 2017</t>
  </si>
  <si>
    <t>Li, 2018</t>
  </si>
  <si>
    <t>Li, 2020</t>
  </si>
  <si>
    <t>Lim, 2016</t>
  </si>
  <si>
    <t>Lima, 2020</t>
  </si>
  <si>
    <t>Lipari, 2020</t>
  </si>
  <si>
    <t>Liu, 2019</t>
  </si>
  <si>
    <t>Liu, 2015</t>
  </si>
  <si>
    <t>Liu, 2020</t>
  </si>
  <si>
    <t>Lopez-Luis, 2020</t>
  </si>
  <si>
    <t>Ma, 2017</t>
  </si>
  <si>
    <t>Marra, 2006</t>
  </si>
  <si>
    <t>Meneküe 2019</t>
  </si>
  <si>
    <t>Metan, 2009</t>
  </si>
  <si>
    <t>Moghnieh, 2015</t>
  </si>
  <si>
    <t>Moreira, 1998</t>
  </si>
  <si>
    <t>Najmi, 2019</t>
  </si>
  <si>
    <t>Niu, 2018</t>
  </si>
  <si>
    <t>Palavutitotai, 2018</t>
  </si>
  <si>
    <t>Porto, 2013</t>
  </si>
  <si>
    <t>Rao 2020</t>
  </si>
  <si>
    <t>Seboxa, 2015</t>
  </si>
  <si>
    <t>Serefhanoglu, 2009</t>
  </si>
  <si>
    <t>Shi, 2009</t>
  </si>
  <si>
    <t>Sirijatuphat, 2018</t>
  </si>
  <si>
    <t>Steinhaus, 2018</t>
  </si>
  <si>
    <t>Stewardson, 2019</t>
  </si>
  <si>
    <t>Stoma, 2016</t>
  </si>
  <si>
    <t>Tian, 2016</t>
  </si>
  <si>
    <t>Topeli, 2000</t>
  </si>
  <si>
    <t>Traverso, 2010</t>
  </si>
  <si>
    <t>Tu, 2018</t>
  </si>
  <si>
    <t>Tuon, 2012</t>
  </si>
  <si>
    <t>Valderrama, 2016</t>
  </si>
  <si>
    <t>Wang, 2016</t>
  </si>
  <si>
    <t>Wang, 2018</t>
  </si>
  <si>
    <t>Wei, 2020</t>
  </si>
  <si>
    <t>Xiao, 2018</t>
  </si>
  <si>
    <t>Xiao, 2020</t>
  </si>
  <si>
    <t>Xie, 2018</t>
  </si>
  <si>
    <t>Xu, 2015</t>
  </si>
  <si>
    <t>Yang, 2018</t>
  </si>
  <si>
    <t>Ye, 2014</t>
  </si>
  <si>
    <t>Yilmaz, 2016</t>
  </si>
  <si>
    <t>Yuan, 2020</t>
  </si>
  <si>
    <t>Zhang, 2020</t>
  </si>
  <si>
    <t>Zhang, 2019</t>
  </si>
  <si>
    <t>Zhang, 2017</t>
  </si>
  <si>
    <t>Zhao, 2020</t>
  </si>
  <si>
    <t>Zheng, 2018</t>
  </si>
  <si>
    <t>Zheng, 2017</t>
  </si>
  <si>
    <t>Zhou, 2019</t>
  </si>
  <si>
    <t>Zhu, 2016</t>
  </si>
  <si>
    <t>Zlatian, 2018</t>
  </si>
  <si>
    <t>Zou, 2020</t>
  </si>
  <si>
    <t>Zhang, 2018</t>
  </si>
  <si>
    <t>Enterococcus spp (faecalis and faecium)</t>
  </si>
  <si>
    <t>Pseudomonadaceae</t>
  </si>
  <si>
    <t>Staphylococcaceae</t>
  </si>
  <si>
    <t xml:space="preserve">Ampicilin/amoxicillin Cefotaxime/ceftriaxone Cefuroxime/Cefazolin/cefadroxil Cefpirome/cefepime Ciprofloxacin Amoxicillin-clavulanic-acid Trimethoprim-sulphametoxazole/Gentamicin /Netilmicin/ Imipenem / Piperacillin-tazobactam/ Cefoperazone-sulbactam/ Colistin </t>
  </si>
  <si>
    <t>Amikacin, Gentamicin, Cefepime,Ceftazidime, Piperacilina-tazobactam, Ciprofloxacin,a Levofloxacin, Imipenem,Meropenem, Aztreonam</t>
  </si>
  <si>
    <t>Ampicilin, B-lactam combinations, ceftriaxone, coprofloxacin, imipenem, amikacin, cotrimoxazole, aztreonam, polymyxinB</t>
  </si>
  <si>
    <t>Ampicilin</t>
  </si>
  <si>
    <t>Cefoperazone, ceftriaxone, cefepime, cefotaxime, ceftazidime, levofloxacin, gatifloxacin, piperacillin, SMZCO, aztreonam, fosfomycin, furadantin, ticarcillin/clavulanate potassium potassiumand, ampicillin, cefoperazone-sulbactam, cefmetazon, meropenem, amikacin, minocycline, and piperacillin/tazobactam</t>
  </si>
  <si>
    <t>Cefotaxime, ceftazidime</t>
  </si>
  <si>
    <t xml:space="preserve">Ertapenem, imipenem and/or meropenem </t>
  </si>
  <si>
    <t>Ciprofloxacin, ofloxacin, gentamicin, amikacin, netilmicin, piperacillin-tazobactam, cefepime, tetracycline, chloramphenicole, trimethoprim-sulfamethoxazole, and imipenem</t>
  </si>
  <si>
    <t>Cephalosporins (ceftazidime and cefepime), fluoroquinolones (ciprofloxacin and levofloxacin), aminoglycosides (gentamicin, tobramycin, and amikacin), carbapenems (imipenem and meropenem), penicillins (piperacillin and ticarcillin), and compound pre- parations of β-lactamase inhibitors (piperacillin/tazobactam)</t>
  </si>
  <si>
    <t>Piperacillin-tazobactam, gentamicin, amikacin, netilmycin, ceftazidime, cefoperazone-sulbactam, cefepime, cefepime/tazobactam, imipenem, meropenem, ciprofloxacin, trimethoprim/sulfamethoxazole andtigecycline</t>
  </si>
  <si>
    <t>Third-generation cephalosporins and carbapenems</t>
  </si>
  <si>
    <t>Third generations of cephalosporin, carbapenem antibiotics, Ceftazidime, Ampicillin / Sulbactam</t>
  </si>
  <si>
    <t>Meropenem, imipenem</t>
  </si>
  <si>
    <t>Imipenem/cilastatin or meropenem)</t>
  </si>
  <si>
    <t>Meropenem, imipenem o doripenem</t>
  </si>
  <si>
    <t>Vancomycin-resistant E. faecium, methicillin-resistant S. aureus (MRSA), extended-spectrum b-lactamase (ESBL)-producing K. pneumoniae, carbapenem-resistant A. baumannii, carbapenem- and quinolone-resistant P. aeruginosa, and de-repressed chromosomal b-lactam and ESBL- producing Enterobacter species</t>
  </si>
  <si>
    <t>CEPHALOSPORINS, CARBAPENEMS, AMINOGLYCOSIDES</t>
  </si>
  <si>
    <t>CEPHALOSPORINS, QUINOLONES, CARBAPENEMS,  β-LACTAMASE INHIBITORS, AMINOGLYCOSIDES</t>
  </si>
  <si>
    <t>AMINOGLYCOSIDES, ANTI-PSEUDOMONAL PENICILINS, CARBAPENEMS, CEPHALOSPORINS, QUINOLONES</t>
  </si>
  <si>
    <t>AMINOGLYCOSIDES, PENICILINS, CARBAPENEMS, CEPHALOSPORINS, QUINOLONES</t>
  </si>
  <si>
    <t>AMINOGLYCOSIDES, PENICILIN, B-LACTMASE INHIBITORS, CARBAPENEMS, FLUROQUINOLONES, TRIMETHOPRIM-SULFAMETHOXAZOLE, CEPHALOSPORINS, AMPICILIN-SULBACTAM, POLY-MYXINS, TETRACYCLINES</t>
  </si>
  <si>
    <t>Patients &gt;16 year old, ESBL producing VS ESBL non-producing BSIs</t>
  </si>
  <si>
    <t>Patients with vancomycin-resistant and susceptible enterococcus bacteraemia</t>
  </si>
  <si>
    <t xml:space="preserve">In-patients with severe CRKP vs CSKP patients </t>
  </si>
  <si>
    <t>In‑patients with hematological disorders infected by CRPA or carbapenem‑susceptible Pseudomonas aeruginosa (CSPA)</t>
  </si>
  <si>
    <t>In-patients with bloodstream infections by VRE</t>
  </si>
  <si>
    <t>Hospitalized adult AL(acute leukemia) patients were collected, and patients diagnosed with PA BSI were included in this study</t>
  </si>
  <si>
    <t>All patients with S. aureus bacteremia</t>
  </si>
  <si>
    <t>Hematological malignancies in-patients with Escherichia coli infections</t>
  </si>
  <si>
    <t>In-patients with MDRAB-related bloodstream infections</t>
  </si>
  <si>
    <t>bacterium_family</t>
  </si>
  <si>
    <t>Moraxellaceae</t>
  </si>
  <si>
    <t>Antibiotic_family</t>
  </si>
  <si>
    <t>Antibiotic_biologicalStrain</t>
  </si>
  <si>
    <t>Bacterium_GramType</t>
  </si>
  <si>
    <t>WHO_CriticalityList</t>
  </si>
  <si>
    <t>Escherichia coli, Klebsciella Pneumoniae</t>
  </si>
  <si>
    <t xml:space="preserve">Summary count of safeguard items              </t>
  </si>
  <si>
    <t xml:space="preserve">The follow-up period determines the temporal relationship between finishing the intervention and outcome assessment. If, for example, a drug was administered for three months and outcome was assessed after a year but there was no expectation that the effect could temporally be expected to continue post discontinuation of intervention and in this situation the safeguard is considered absent. Conversely, if following an exposure like diabetes onset cancer is looked for after 3 months that is clearly an insufficient duration and the safeguard is considered absent </t>
  </si>
  <si>
    <r>
      <t>36.</t>
    </r>
    <r>
      <rPr>
        <b/>
        <sz val="7"/>
        <color theme="1"/>
        <rFont val="Times New Roman"/>
        <family val="1"/>
      </rPr>
      <t xml:space="preserve"> </t>
    </r>
    <r>
      <rPr>
        <b/>
        <sz val="10"/>
        <color theme="1"/>
        <rFont val="Cambria"/>
        <family val="1"/>
      </rPr>
      <t xml:space="preserve">Length of follow-up was not too long or too short in relation to the outcome assessment </t>
    </r>
  </si>
  <si>
    <t>This safeguard is considered present if the dose of intervention/ exposure can reasonably be temporally related to an outcome (e.g., NSAID at low dosage and frequency in relation to future kidney injury) or a dose-response relationship was documented.</t>
  </si>
  <si>
    <r>
      <t>35.</t>
    </r>
    <r>
      <rPr>
        <b/>
        <sz val="7"/>
        <color theme="1"/>
        <rFont val="Times New Roman"/>
        <family val="1"/>
      </rPr>
      <t xml:space="preserve"> </t>
    </r>
    <r>
      <rPr>
        <b/>
        <sz val="10"/>
        <color theme="1"/>
        <rFont val="Cambria"/>
        <family val="1"/>
      </rPr>
      <t>Dose of intervention/ exposure was sufficient to influence the outcome</t>
    </r>
  </si>
  <si>
    <t>This safeguard is considered present if the intervention/ exposure period is temporally sufficient to have affected or influenced the outcome (e.g., smoking for a few weeks is unlikely to influence lung cancer).</t>
  </si>
  <si>
    <r>
      <t>34.</t>
    </r>
    <r>
      <rPr>
        <b/>
        <sz val="7"/>
        <color theme="1"/>
        <rFont val="Times New Roman"/>
        <family val="1"/>
      </rPr>
      <t xml:space="preserve"> </t>
    </r>
    <r>
      <rPr>
        <b/>
        <sz val="10"/>
        <color theme="1"/>
        <rFont val="Cambria"/>
        <family val="1"/>
      </rPr>
      <t>The intervention/ exposure period was long enough to have influenced the study outcome</t>
    </r>
  </si>
  <si>
    <t xml:space="preserve">This safeguard is considered present if there were no carry over effects from interventions prior to the start of the study (e.g., there was a long enough refractory period to separate the effects of different interventions). Carry-over effects occur in within-subject research designs, such as cross-over trials, and dose-response studies, dose-titration studies, and open-evaluation studies. They may also occur in a randomised trial if the intervention groups were randomised by continuation / discontinuation of previous treatments. Carry-over effects can occur due to fatigue, habituation, sensitization, and adaptation. Methods to overcome carry-over effects that can be looked for in the reported article are counterbalancing (interventions are given in different orders for different participants and carry-over effects will cancel each other out) and including treatment order as an independent variable in the analysis to measure the size of the carry-over effect. </t>
  </si>
  <si>
    <r>
      <t>33.</t>
    </r>
    <r>
      <rPr>
        <b/>
        <sz val="7"/>
        <rFont val="Times New Roman"/>
        <family val="1"/>
      </rPr>
      <t xml:space="preserve"> </t>
    </r>
    <r>
      <rPr>
        <b/>
        <sz val="10"/>
        <rFont val="Cambria"/>
        <family val="1"/>
      </rPr>
      <t>Carry-over or refractory effects were avoided or considered in the design of the study or were not relevant</t>
    </r>
  </si>
  <si>
    <r>
      <t>This safeguard is considered present if subjects were selected (or not excluded) before the intervention/ exposure began and were evaluated prospectively.</t>
    </r>
    <r>
      <rPr>
        <b/>
        <sz val="10"/>
        <color theme="1"/>
        <rFont val="Cambria"/>
        <family val="1"/>
      </rPr>
      <t xml:space="preserve"> </t>
    </r>
    <r>
      <rPr>
        <sz val="10"/>
        <color theme="1"/>
        <rFont val="Cambria"/>
        <family val="1"/>
      </rPr>
      <t xml:space="preserve">This safeguard is applicable to experimental and retrospective/ prospective cohort study designs and nested case-control designs. It captures a prospective sequence of exposure to outcome whereby data from the intervention/ exposed and control/ nonexposed groups are collected and followed concurrently. </t>
    </r>
    <r>
      <rPr>
        <sz val="10"/>
        <color rgb="FF000000"/>
        <rFont val="Cambria"/>
        <family val="1"/>
      </rPr>
      <t>A prospective sequence may not be applicable for certain designs, such as classic case-control or cross-sectional study designs and hence this safeguard is deemed to be absent by default.</t>
    </r>
  </si>
  <si>
    <r>
      <t>32.</t>
    </r>
    <r>
      <rPr>
        <b/>
        <sz val="7"/>
        <color theme="1"/>
        <rFont val="Times New Roman"/>
        <family val="1"/>
      </rPr>
      <t xml:space="preserve"> </t>
    </r>
    <r>
      <rPr>
        <b/>
        <sz val="10"/>
        <color rgb="FF000000"/>
        <rFont val="Cambria"/>
        <family val="1"/>
      </rPr>
      <t xml:space="preserve">All subjects were selected prior to intervention/ exposure and evaluated prospectively </t>
    </r>
  </si>
  <si>
    <r>
      <t xml:space="preserve">Temporal precedence                                                                                   </t>
    </r>
    <r>
      <rPr>
        <b/>
        <sz val="10"/>
        <color rgb="FF000000"/>
        <rFont val="Cambria"/>
        <family val="1"/>
      </rPr>
      <t xml:space="preserve">                                          </t>
    </r>
  </si>
  <si>
    <r>
      <t>Data dredging is present when data are analysed ad hoc in many ways seeking any possible relationships between data. Selective outcome reporting occurs when the primary outcomes of a trial protocol are changed or omitted in the paper. This safeguard is considered present if there was no data-dredging or selective reporting of the outcomes. This can be assessed by checking the outcomes w</t>
    </r>
    <r>
      <rPr>
        <sz val="12"/>
        <color theme="1"/>
        <rFont val="Calibri"/>
        <family val="2"/>
        <scheme val="minor"/>
      </rPr>
      <t>ere</t>
    </r>
    <r>
      <rPr>
        <sz val="10"/>
        <color theme="1"/>
        <rFont val="Cambria"/>
        <family val="1"/>
      </rPr>
      <t xml:space="preserve"> specified a priori and are relevant to the study hypothesis. The analysis must begin with a hypothesis that specifies the outcomes before data are available for analysis (often found in a study protocol) and then follows with an examination of the data. Data dredging or selective reporting of the outcomes may have occurred if the outcome being assessed was likely to have been selected from multiple outcome measurements, relevant outcomes were omitted, outcomes were not directly related to the hypothesis, there were multiple analyses of the data, multiple or ad-hoc subgroup analyses, subgroups were defined in unusual ways, analyses were selected from a larger cohort of data, or the decision to validate a study’s result was dependent on the findings of the study. </t>
    </r>
  </si>
  <si>
    <r>
      <t>31.</t>
    </r>
    <r>
      <rPr>
        <b/>
        <sz val="7"/>
        <color theme="1"/>
        <rFont val="Times New Roman"/>
        <family val="1"/>
      </rPr>
      <t xml:space="preserve"> </t>
    </r>
    <r>
      <rPr>
        <b/>
        <sz val="10"/>
        <color theme="1"/>
        <rFont val="Cambria"/>
        <family val="1"/>
      </rPr>
      <t>There was no discernible data dredging or selective reporting of the outcomes</t>
    </r>
  </si>
  <si>
    <t xml:space="preserve">This safeguard is considered present if the analyses and text or tables were free of any computational errors or contradictions. Computational errors or contradictions can be checked by looking at whether the statistical analysis of numbers was correct (whether the numbers add up), errors that invalidate the results were avoided, and the data analysis was credible for the analysis to be deemed sufficient.   </t>
  </si>
  <si>
    <r>
      <t>30.</t>
    </r>
    <r>
      <rPr>
        <b/>
        <sz val="7"/>
        <color theme="1"/>
        <rFont val="Times New Roman"/>
        <family val="1"/>
      </rPr>
      <t xml:space="preserve"> </t>
    </r>
    <r>
      <rPr>
        <b/>
        <sz val="10"/>
        <color theme="1"/>
        <rFont val="Cambria"/>
        <family val="1"/>
      </rPr>
      <t>Computation errors or contradictions were absent</t>
    </r>
  </si>
  <si>
    <t xml:space="preserve">This safeguard would be absent if, for example, relative risk was used in a case-control design, or cross-over designs or cluster designs were properly handled etc. This safeguard also protects against violated assumptions, multicollinearity, misspecification errors, unit of analysis errors, poor approaches to sensitivity analysis, and interactions that were not considered. Justification for the choice of model should be given and appropriate if it is not a standard approach for the study design.   </t>
  </si>
  <si>
    <r>
      <t>29.</t>
    </r>
    <r>
      <rPr>
        <b/>
        <sz val="7"/>
        <color theme="1"/>
        <rFont val="Times New Roman"/>
        <family val="1"/>
      </rPr>
      <t xml:space="preserve"> </t>
    </r>
    <r>
      <rPr>
        <b/>
        <sz val="10"/>
        <color theme="1"/>
        <rFont val="Cambria"/>
        <family val="1"/>
      </rPr>
      <t>Analytic method was justified by study design or data requirements</t>
    </r>
  </si>
  <si>
    <r>
      <t xml:space="preserve">Sufficient analysis                                         </t>
    </r>
    <r>
      <rPr>
        <b/>
        <sz val="10"/>
        <color rgb="FF000000"/>
        <rFont val="Cambria"/>
        <family val="1"/>
      </rPr>
      <t xml:space="preserve">   </t>
    </r>
  </si>
  <si>
    <t xml:space="preserve">Conflict of interests usually represent bias in favour of the intervention (e.g., drug companies running or funding clinical trials). This safeguard is considered present if conflict of interests were not deemed to be an important issue. Conflicts of interest exist when professional judgment concerning a primary interest (such as validity of research) may be influenced by a secondary interest (such as financial gain or personal relationships). This can be looked for by assessing relationships between authors and interventions which may be indicated in the beginning or end of the article text (sometimes beneath the references) and also by checking the author names and funding sources or affiliations (e.g., there may be no funding source for the study but the author works for the drug company). </t>
  </si>
  <si>
    <r>
      <t>28.</t>
    </r>
    <r>
      <rPr>
        <b/>
        <sz val="7"/>
        <color theme="1"/>
        <rFont val="Times New Roman"/>
        <family val="1"/>
      </rPr>
      <t xml:space="preserve"> </t>
    </r>
    <r>
      <rPr>
        <b/>
        <sz val="10"/>
        <color theme="1"/>
        <rFont val="Cambria"/>
        <family val="1"/>
      </rPr>
      <t xml:space="preserve">Conflict of interests were declared and absent                                                                        </t>
    </r>
  </si>
  <si>
    <t>This safeguard is considered present if the allocation procedure used to assign participants to intervention/ exposure and control groups prevents participants and investigators foreseeing the treatment assignments. Allocation concealment may be adequate if it was performed by use of centralized randomization, opaque sealed envelopes, numbered or coded devices. If the method is described but inadequate (e.g., use of open allocation schedule, unsealed or non-opaque envelopes, date of birth of participants etc) then participants and investigators may be able to foresee group assignment and this safeguard is considered absent.</t>
  </si>
  <si>
    <r>
      <t>27.</t>
    </r>
    <r>
      <rPr>
        <b/>
        <sz val="7"/>
        <color theme="1"/>
        <rFont val="Times New Roman"/>
        <family val="1"/>
      </rPr>
      <t xml:space="preserve"> </t>
    </r>
    <r>
      <rPr>
        <b/>
        <sz val="10"/>
        <color theme="1"/>
        <rFont val="Cambria"/>
        <family val="1"/>
      </rPr>
      <t>Allocation procedure was adequately concealed</t>
    </r>
  </si>
  <si>
    <t xml:space="preserve">This safeguard is only present in randomized experiments and is considered present if the allocation sequence to assign participants to groups was adequately generated to be at random. If participants were their own control, then treatment order should have been randomised. A random number table or random number generator performed by computer, a coin toss or shuffling cards are acceptable. Methods such as sequence generated by odd or even date of birth or sequence generated by other similar rules do not meet this safeguard definition. </t>
  </si>
  <si>
    <r>
      <t>26.</t>
    </r>
    <r>
      <rPr>
        <b/>
        <sz val="7"/>
        <color theme="1"/>
        <rFont val="Times New Roman"/>
        <family val="1"/>
      </rPr>
      <t xml:space="preserve"> </t>
    </r>
    <r>
      <rPr>
        <b/>
        <sz val="10"/>
        <color theme="1"/>
        <rFont val="Cambria"/>
        <family val="1"/>
      </rPr>
      <t xml:space="preserve">Participants were randomly allocated to groups with an adequate randomisation process </t>
    </r>
  </si>
  <si>
    <t xml:space="preserve">This safeguard is considered present if the distribution of relevant baseline characteristics across groups were balanced at the start of the study. The number and type of baseline characteristics are dependent on the research question. Baseline characteristics are found in the table or text. </t>
  </si>
  <si>
    <r>
      <rPr>
        <b/>
        <sz val="10"/>
        <rFont val="Cambria"/>
        <family val="1"/>
      </rPr>
      <t>25.</t>
    </r>
    <r>
      <rPr>
        <b/>
        <sz val="7"/>
        <rFont val="Times New Roman"/>
        <family val="1"/>
      </rPr>
      <t xml:space="preserve"> </t>
    </r>
    <r>
      <rPr>
        <b/>
        <sz val="10"/>
        <rFont val="Cambria"/>
        <family val="1"/>
      </rPr>
      <t>Key baseline characteristics / prognostic indicators for the study were comparable across groups</t>
    </r>
  </si>
  <si>
    <t xml:space="preserve">This safeguard refers to the method of selection of key confounders and is considered absent if adjustments were made for “collected variables” but there was no justification for their confounder status (e.g. from the literature or through a DAG). To be a confounder, the variable must be a common cause of exposure and outcome and must NOT be a common effect of exposure and outcome. </t>
  </si>
  <si>
    <r>
      <t>24.</t>
    </r>
    <r>
      <rPr>
        <b/>
        <sz val="7"/>
        <color theme="1"/>
        <rFont val="Times New Roman"/>
        <family val="1"/>
      </rPr>
      <t xml:space="preserve"> </t>
    </r>
    <r>
      <rPr>
        <b/>
        <sz val="10"/>
        <color theme="1"/>
        <rFont val="Cambria"/>
        <family val="1"/>
      </rPr>
      <t xml:space="preserve">Key confounders addressed through design or analysis were not common effects of exposure and outcome </t>
    </r>
  </si>
  <si>
    <r>
      <t>This safeguard is considered present if the design accounts for confounding through</t>
    </r>
    <r>
      <rPr>
        <b/>
        <sz val="10"/>
        <color theme="1"/>
        <rFont val="Cambria"/>
        <family val="1"/>
      </rPr>
      <t xml:space="preserve"> </t>
    </r>
    <r>
      <rPr>
        <sz val="10"/>
        <color theme="1"/>
        <rFont val="Cambria"/>
        <family val="1"/>
      </rPr>
      <t>restriction, matching or stratification on key confounding variables</t>
    </r>
    <r>
      <rPr>
        <b/>
        <sz val="10"/>
        <color theme="1"/>
        <rFont val="Cambria"/>
        <family val="1"/>
      </rPr>
      <t xml:space="preserve"> </t>
    </r>
    <r>
      <rPr>
        <sz val="10"/>
        <color theme="1"/>
        <rFont val="Cambria"/>
        <family val="1"/>
      </rPr>
      <t>or alternatively randomisation</t>
    </r>
    <r>
      <rPr>
        <b/>
        <sz val="10"/>
        <color theme="1"/>
        <rFont val="Cambria"/>
        <family val="1"/>
      </rPr>
      <t xml:space="preserve"> </t>
    </r>
    <r>
      <rPr>
        <sz val="10"/>
        <color theme="1"/>
        <rFont val="Cambria"/>
        <family val="1"/>
      </rPr>
      <t>specified in the study design. Note, randomisation is included here in addition to its own category elsewhere. In observational designs this safeguard is also met if consecutive patients (including interrupted, sequential etc) were enrolled. Known important confounders can be controlled by statistical adjustment after completion of data collection using specific analytic strategies (e.g., covariate adjustment, propensity score, instrumental variable, etc). This safeguard is considered present if there were analytic strategies in place to avoid confounding by key important variables, or analytic strategies to adjust for confounding were not required. Analytic strategies should also be in place to avoid confounding by indication if this is an observational study or if it is a non-randomised trial (randomised trials are exempt from confounding by indication).</t>
    </r>
  </si>
  <si>
    <r>
      <t>23.</t>
    </r>
    <r>
      <rPr>
        <b/>
        <sz val="7"/>
        <color theme="1"/>
        <rFont val="Times New Roman"/>
        <family val="1"/>
      </rPr>
      <t xml:space="preserve"> </t>
    </r>
    <r>
      <rPr>
        <b/>
        <sz val="10"/>
        <color theme="1"/>
        <rFont val="Cambria"/>
        <family val="1"/>
      </rPr>
      <t xml:space="preserve">Design and/or analysis strategies were in place that addressed potential confounding </t>
    </r>
  </si>
  <si>
    <r>
      <t xml:space="preserve">Equal prognosis                                                        </t>
    </r>
    <r>
      <rPr>
        <b/>
        <sz val="10"/>
        <color rgb="FF000000"/>
        <rFont val="Cambria"/>
        <family val="1"/>
      </rPr>
      <t xml:space="preserve">                                                                                                                                                                                                </t>
    </r>
  </si>
  <si>
    <t xml:space="preserve">The prospectively defined schedule for follow-up measures of the outcome should be similar between groups to ensure equal implementation.  If this has not occurred, the analyses must adjust for different lengths of follow-up of patients (in a dynamic study). This safeguard is considered present if the time period between the exposure and outcome is similar across patients and between groups or the analysis adjusts for different lengths of follow-up of patients (e.g., time-to-event analysis). </t>
  </si>
  <si>
    <r>
      <t>22.</t>
    </r>
    <r>
      <rPr>
        <b/>
        <sz val="7"/>
        <color theme="1"/>
        <rFont val="Times New Roman"/>
        <family val="1"/>
      </rPr>
      <t xml:space="preserve"> </t>
    </r>
    <r>
      <rPr>
        <b/>
        <sz val="10"/>
        <color theme="1"/>
        <rFont val="Cambria"/>
        <family val="1"/>
      </rPr>
      <t>The time period between exposure and outcome was similar across patients and between groups or the analyses adjusted for different lengths of follow-up of patients</t>
    </r>
  </si>
  <si>
    <t xml:space="preserve">This safeguard is considered present if the outcome definition remained the same for all participants during a study. For example, if during a psychiatry study the diagnostic manual was updated from DSM-IV to DSM-V, although objective, this would be an inconsistent outcome definition and thus the safeguard would be considered absent.   </t>
  </si>
  <si>
    <r>
      <t>21.</t>
    </r>
    <r>
      <rPr>
        <b/>
        <sz val="7"/>
        <color theme="1"/>
        <rFont val="Times New Roman"/>
        <family val="1"/>
      </rPr>
      <t xml:space="preserve"> </t>
    </r>
    <r>
      <rPr>
        <b/>
        <sz val="10"/>
        <color theme="1"/>
        <rFont val="Cambria"/>
        <family val="1"/>
      </rPr>
      <t>Outcome definition was consistently applied to all participants</t>
    </r>
  </si>
  <si>
    <t xml:space="preserve">This safeguard is considered present if the same definition of exposure or intervention was used for all participants and did not change during the timeframe of the study.  </t>
  </si>
  <si>
    <r>
      <t>20.</t>
    </r>
    <r>
      <rPr>
        <b/>
        <sz val="7"/>
        <color theme="1"/>
        <rFont val="Times New Roman"/>
        <family val="1"/>
      </rPr>
      <t xml:space="preserve"> </t>
    </r>
    <r>
      <rPr>
        <b/>
        <sz val="10"/>
        <color theme="1"/>
        <rFont val="Cambria"/>
        <family val="1"/>
      </rPr>
      <t>Exposure/intervention definition was consistently applied to all participants</t>
    </r>
  </si>
  <si>
    <t xml:space="preserve">This safeguard is considered present if there was no contamination across control and active interventions/ exposures. Contamination occurs when the members of one group in a trial receive the treatment or are exposed to the intervention that is meant solely for the other group thereby minimising any real difference that exists between the groups. </t>
  </si>
  <si>
    <r>
      <t>19.</t>
    </r>
    <r>
      <rPr>
        <b/>
        <sz val="7"/>
        <color theme="1"/>
        <rFont val="Times New Roman"/>
        <family val="1"/>
      </rPr>
      <t xml:space="preserve"> </t>
    </r>
    <r>
      <rPr>
        <b/>
        <sz val="10"/>
        <color theme="1"/>
        <rFont val="Cambria"/>
        <family val="1"/>
      </rPr>
      <t xml:space="preserve">Control and active interventions/ exposures were sufficiently distinct  </t>
    </r>
  </si>
  <si>
    <t>Co-interventions are the provision of additional care to either of the comparison groups. All co-interventions that may plausibly impact the outcome should be administered equally in intervention/ exposure and control groups and if so, this safeguard is considered present. This safeguard is also present if there were no co-interventions.</t>
  </si>
  <si>
    <r>
      <t>18.</t>
    </r>
    <r>
      <rPr>
        <b/>
        <sz val="7"/>
        <color theme="1"/>
        <rFont val="Times New Roman"/>
        <family val="1"/>
      </rPr>
      <t xml:space="preserve"> </t>
    </r>
    <r>
      <rPr>
        <b/>
        <sz val="10"/>
        <color theme="1"/>
        <rFont val="Cambria"/>
        <family val="1"/>
      </rPr>
      <t xml:space="preserve">Cointerventions that could impact the outcome were comparable between groups or avoided                                 </t>
    </r>
  </si>
  <si>
    <r>
      <t xml:space="preserve">This safeguard is considered present if care delivery was implemented in the same setting or by the same staff such that it is unlikely to have been variable in quality and extent across participants. </t>
    </r>
    <r>
      <rPr>
        <sz val="10"/>
        <color rgb="FF000000"/>
        <rFont val="Cambria"/>
        <family val="1"/>
      </rPr>
      <t xml:space="preserve">In assessing equal care, caregivers’ </t>
    </r>
    <r>
      <rPr>
        <sz val="10"/>
        <color theme="1"/>
        <rFont val="Cambria"/>
        <family val="1"/>
      </rPr>
      <t xml:space="preserve">experience or skill should be considered as well as the monitoring of participants and other supportive care. This safeguard would fail be implemented and is considered absent in a multicentre trial. </t>
    </r>
  </si>
  <si>
    <r>
      <t>17.</t>
    </r>
    <r>
      <rPr>
        <b/>
        <sz val="7"/>
        <color theme="1"/>
        <rFont val="Times New Roman"/>
        <family val="1"/>
      </rPr>
      <t xml:space="preserve"> </t>
    </r>
    <r>
      <rPr>
        <b/>
        <sz val="10"/>
        <color theme="1"/>
        <rFont val="Cambria"/>
        <family val="1"/>
      </rPr>
      <t xml:space="preserve">Care was delivered equally to all participants                                                                               </t>
    </r>
  </si>
  <si>
    <r>
      <t xml:space="preserve">Equal implementation                                                                 </t>
    </r>
    <r>
      <rPr>
        <b/>
        <sz val="10"/>
        <color rgb="FF000000"/>
        <rFont val="Cambria"/>
        <family val="1"/>
      </rPr>
      <t xml:space="preserve">                   </t>
    </r>
  </si>
  <si>
    <t>This safeguard is considered present if the person conducting the analyses for the study was unaware or kept blind to which participants were in the intervention/ exposure and control/ nonexposed groups.</t>
  </si>
  <si>
    <r>
      <t>16.</t>
    </r>
    <r>
      <rPr>
        <b/>
        <sz val="7"/>
        <color theme="1"/>
        <rFont val="Times New Roman"/>
        <family val="1"/>
      </rPr>
      <t xml:space="preserve"> </t>
    </r>
    <r>
      <rPr>
        <b/>
        <sz val="10"/>
        <color theme="1"/>
        <rFont val="Cambria"/>
        <family val="1"/>
      </rPr>
      <t xml:space="preserve">Analyst(s) were blinded               </t>
    </r>
  </si>
  <si>
    <t xml:space="preserve">This safeguard is considered present if those caring for participants were unaware or kept blind to which study group participants were in. Caregivers are those administering the intervention, such as physicians, nurses, allied health professionals, surgeons, those administering co-interventions and following participants etc. For example, caregivers may be blinded by use of the same equipment in both treatment and control groups or ensuring the control treatment’s characteristics are indistinguishable from the experimental treatment, and the consequences of treatments, and monitoring are similar in each group. </t>
  </si>
  <si>
    <r>
      <t>15.</t>
    </r>
    <r>
      <rPr>
        <b/>
        <sz val="7"/>
        <color theme="1"/>
        <rFont val="Times New Roman"/>
        <family val="1"/>
      </rPr>
      <t xml:space="preserve"> </t>
    </r>
    <r>
      <rPr>
        <b/>
        <sz val="10"/>
        <color theme="1"/>
        <rFont val="Cambria"/>
        <family val="1"/>
      </rPr>
      <t>Caregivers were blinded</t>
    </r>
  </si>
  <si>
    <t xml:space="preserve">This safeguard is considered present if the participants were blind to which study group they were in. </t>
  </si>
  <si>
    <r>
      <t>14.</t>
    </r>
    <r>
      <rPr>
        <b/>
        <sz val="7"/>
        <color theme="1"/>
        <rFont val="Times New Roman"/>
        <family val="1"/>
      </rPr>
      <t xml:space="preserve"> </t>
    </r>
    <r>
      <rPr>
        <b/>
        <sz val="10"/>
        <color theme="1"/>
        <rFont val="Cambria"/>
        <family val="1"/>
      </rPr>
      <t>Participants were blinded</t>
    </r>
  </si>
  <si>
    <r>
      <t>This safeguard is considered present if the outcome assessor(s) was blind to which participants were in the intervention/ exposure group and control/ non-exposed groups or a hard outcome was assessed. T</t>
    </r>
    <r>
      <rPr>
        <sz val="10"/>
        <color rgb="FF000000"/>
        <rFont val="Cambria"/>
        <family val="1"/>
      </rPr>
      <t>he adequacy of blinding should be assessed for the relevant outcome (</t>
    </r>
    <r>
      <rPr>
        <sz val="10"/>
        <color theme="1"/>
        <rFont val="Cambria"/>
        <family val="1"/>
      </rPr>
      <t xml:space="preserve">or exposure in case-control and similar studies). </t>
    </r>
    <r>
      <rPr>
        <sz val="10"/>
        <color rgb="FF000000"/>
        <rFont val="Cambria"/>
        <family val="1"/>
      </rPr>
      <t>Outcome assessors could be participants (e.g., self-reported outcomes), data collectors (e.g., blinded research staff), or technicians. The adequacy of the blinding procedure will depend on the main outcome. For example, for participant-reported outcomes the blinding procedure is adequate for outcome assessors if it is adequate for participants and care-providers, such as being blind to the control treatment’s characteristics,</t>
    </r>
    <r>
      <rPr>
        <sz val="10"/>
        <color theme="1"/>
        <rFont val="Cambria"/>
        <family val="1"/>
      </rPr>
      <t xml:space="preserve"> consequences of the treatments, clinical manifestations, and monitoring or are similar in each group</t>
    </r>
    <r>
      <rPr>
        <sz val="10"/>
        <color rgb="FF000000"/>
        <rFont val="Cambria"/>
        <family val="1"/>
      </rPr>
      <t xml:space="preserve"> and also when there is no contact between participants and assessors. </t>
    </r>
  </si>
  <si>
    <r>
      <t>13.</t>
    </r>
    <r>
      <rPr>
        <b/>
        <sz val="7"/>
        <color theme="1"/>
        <rFont val="Times New Roman"/>
        <family val="1"/>
      </rPr>
      <t xml:space="preserve"> </t>
    </r>
    <r>
      <rPr>
        <b/>
        <sz val="10"/>
        <color theme="1"/>
        <rFont val="Cambria"/>
        <family val="1"/>
      </rPr>
      <t xml:space="preserve">Outcome assessor(s) were blinded </t>
    </r>
  </si>
  <si>
    <t>This safeguard is considered present if both the active and control exposures were objectively defined to be clearly reproducible by researchers. If a tool was used to measure exposure variables, it should be a clearly reproducible tool. For interventions, a clear definition of treatment and control interventions is required so that they are reproducible by readers. Consistency of implementation from subject to subject is not assessed here.</t>
  </si>
  <si>
    <r>
      <t>12.</t>
    </r>
    <r>
      <rPr>
        <b/>
        <sz val="7"/>
        <color theme="1"/>
        <rFont val="Times New Roman"/>
        <family val="1"/>
      </rPr>
      <t xml:space="preserve"> </t>
    </r>
    <r>
      <rPr>
        <b/>
        <sz val="10"/>
        <color theme="1"/>
        <rFont val="Cambria"/>
        <family val="1"/>
      </rPr>
      <t>Exposures/ interventions were objectively and/ or reliably measured</t>
    </r>
  </si>
  <si>
    <t xml:space="preserve">This safeguard is considered present if the outcome measured was a hard outcome (e.g., death) or was reliably measured (e.g., using a validated tool, test-retest, piloting, validation in a previous study etc), or clearly not a subjective assessment (e.g. ‘soft’ outcomes such as non-validated patient-reported outcome measures, or use of surrogate or proxy outcome measures, such as records, or a composite outcome measure).  </t>
  </si>
  <si>
    <r>
      <t>11.</t>
    </r>
    <r>
      <rPr>
        <b/>
        <sz val="7"/>
        <color theme="1"/>
        <rFont val="Times New Roman"/>
        <family val="1"/>
      </rPr>
      <t xml:space="preserve"> </t>
    </r>
    <r>
      <rPr>
        <b/>
        <sz val="10"/>
        <color theme="1"/>
        <rFont val="Cambria"/>
        <family val="1"/>
      </rPr>
      <t xml:space="preserve">The outcome was objective and/ or reliably measured </t>
    </r>
  </si>
  <si>
    <r>
      <t xml:space="preserve">This safeguard is considered present if procedures for data collection of variables other than exposure/intervention and outcome were reliable and the same for all participants. For example, if some participants were interviewed and others filled in a questionnaire (containing all other variables for the study) this safeguard would be considered absent. This may include variables such as confounding variables and demographic variables, for example. It is okay for different procedures to be used for different variables so long as they were the same for all participants.  </t>
    </r>
    <r>
      <rPr>
        <b/>
        <sz val="10"/>
        <color theme="1"/>
        <rFont val="Cambria"/>
        <family val="1"/>
      </rPr>
      <t xml:space="preserve"> </t>
    </r>
  </si>
  <si>
    <r>
      <t>10.</t>
    </r>
    <r>
      <rPr>
        <b/>
        <sz val="7"/>
        <color theme="1"/>
        <rFont val="Times New Roman"/>
        <family val="1"/>
      </rPr>
      <t xml:space="preserve"> </t>
    </r>
    <r>
      <rPr>
        <b/>
        <sz val="10"/>
        <color theme="1"/>
        <rFont val="Cambria"/>
        <family val="1"/>
      </rPr>
      <t>Procedures for data collection of covariates were reliable and the same for all participants</t>
    </r>
  </si>
  <si>
    <r>
      <t xml:space="preserve">Equal ascertainment                                           </t>
    </r>
    <r>
      <rPr>
        <b/>
        <sz val="10"/>
        <color rgb="FF000000"/>
        <rFont val="Cambria"/>
        <family val="1"/>
      </rPr>
      <t xml:space="preserve">                    </t>
    </r>
  </si>
  <si>
    <t>This safeguard is present if such analyses are included in the study or if this was not required for changes after the start of the study. In randomised experiments, this safeguard is addressed for withdrawals by an instrumental variable analysis, the instrument being the allocation sequence after randomization (intention-to-treat principle) or similar analysis. In observational studies, this safeguard is met if there was any analytic stratification, or adjustment by an indicator variable for the withdrawal. Variations in exposure can be handled by a dose-response analysis.</t>
  </si>
  <si>
    <r>
      <t>9.</t>
    </r>
    <r>
      <rPr>
        <b/>
        <sz val="7"/>
        <color theme="1"/>
        <rFont val="Times New Roman"/>
        <family val="1"/>
      </rPr>
      <t xml:space="preserve">     </t>
    </r>
    <r>
      <rPr>
        <b/>
        <sz val="10"/>
        <color theme="1"/>
        <rFont val="Cambria"/>
        <family val="1"/>
      </rPr>
      <t xml:space="preserve">Variations in exposure or withdrawals after start of the study were addressed by the analysis </t>
    </r>
  </si>
  <si>
    <t>This applies to exposure or treatment deviations from what was defined in the study. For example, treatment deviations due to non-compliance or change in a patient’s wish to continue the treatment. This safeguard is considered present if the exposure/ treatment variations/ deviations were less than 20%. Non-adherence to treatment is any deviation on the part of the patient or treatment provider to the trial treatment protocol, or any treatment change agreed with care providers or investigators but not permitted by the trial protocol. Variations in exposure may be due to variations in the behaviour of a participant (e.g. amount of alcohol drunk or extent of  smoking) while non-adherence can take the form of not starting a treatment at all, taking treatment at the incorrect time, ‘drug holidays’, or diminished adherence between clinician appointments. Complete withdrawal from treatment and withdrawal from the study (lost to follow-up) are separate as in the latter, follow-up data is unavailable. This safeguard needs to be mentioned by the authors in terms of what was done to monitor this and what was found. If this has not been mentioned, the safeguard is considered present if the exposure is a permanent attribute (e.g., a genetic marker or sex) or if a treatment cannot be withdrawn or changed (e.g., surgery).</t>
  </si>
  <si>
    <r>
      <t>8.</t>
    </r>
    <r>
      <rPr>
        <b/>
        <sz val="7"/>
        <color theme="1"/>
        <rFont val="Times New Roman"/>
        <family val="1"/>
      </rPr>
      <t xml:space="preserve">     </t>
    </r>
    <r>
      <rPr>
        <b/>
        <sz val="10"/>
        <color theme="1"/>
        <rFont val="Cambria"/>
        <family val="1"/>
      </rPr>
      <t xml:space="preserve">Exposure variations / treatment deviations were  less than 20% </t>
    </r>
  </si>
  <si>
    <t>This safeguard is considered present if the analysis includes imputation or inverse probability weighting to account for missing data or there was no missing data to require such an analysis. The specific method used must be specified (e.g., sample mean substitution, hot deck imputation, single imputation, or multiple imputation etc).</t>
  </si>
  <si>
    <r>
      <t>7.</t>
    </r>
    <r>
      <rPr>
        <b/>
        <sz val="7"/>
        <color theme="1"/>
        <rFont val="Times New Roman"/>
        <family val="1"/>
      </rPr>
      <t xml:space="preserve">     </t>
    </r>
    <r>
      <rPr>
        <b/>
        <sz val="10"/>
        <color theme="1"/>
        <rFont val="Cambria"/>
        <family val="1"/>
      </rPr>
      <t>Analysis accounted for missing data</t>
    </r>
  </si>
  <si>
    <t xml:space="preserve">This safeguard is considered present if missing data is less than 20% and this is consistent through evaluation of tables or text. Missing data does not include participants lost to follow-up. Missing data on variables that are not relevant is not considered here (e.g., a question about household members that is not answered by participants living alone is not considered relevant). </t>
  </si>
  <si>
    <r>
      <t>6.</t>
    </r>
    <r>
      <rPr>
        <b/>
        <sz val="7"/>
        <color theme="1"/>
        <rFont val="Times New Roman"/>
        <family val="1"/>
      </rPr>
      <t xml:space="preserve">     </t>
    </r>
    <r>
      <rPr>
        <b/>
        <sz val="10"/>
        <color theme="1"/>
        <rFont val="Cambria"/>
        <family val="1"/>
      </rPr>
      <t xml:space="preserve">Missing data was less than 20% </t>
    </r>
  </si>
  <si>
    <t>This safeguard is considered present if a study reports loss to follow-up of less than 20% and this is verified through examination of the text, flow-charts, tables and figures. Note that equality of treatment rates is not enough to safeguard against attrition (the attritors might still be selected differently in the two groups), nor differential response rates more likely to cause bias (attrition may still be unrelated to the outcome of interest) and therefore this safeguard refers to total attrition only being less than 20% of total participant numbers.</t>
  </si>
  <si>
    <r>
      <t>5.</t>
    </r>
    <r>
      <rPr>
        <b/>
        <sz val="7"/>
        <color theme="1"/>
        <rFont val="Times New Roman"/>
        <family val="1"/>
      </rPr>
      <t xml:space="preserve">     </t>
    </r>
    <r>
      <rPr>
        <b/>
        <sz val="10"/>
        <color theme="1"/>
        <rFont val="Cambria"/>
        <family val="1"/>
      </rPr>
      <t xml:space="preserve">Any attrition (or exclusions after entry) was less than 20% of total participant numbers                                       </t>
    </r>
  </si>
  <si>
    <t xml:space="preserve">Equal retention                                                    </t>
  </si>
  <si>
    <r>
      <t xml:space="preserve">This safeguard is considered absent if both the exposure and the outcome are a cause of any of the variables considered in the eligibility of participants. For example, if the exposure and outcome can both modulate the eligibility criterion then this should not have been an inclusion or an exclusion variable (such as demographics like education or a medical condition or even a medical status such as hospitalization). A specific example of this may be </t>
    </r>
    <r>
      <rPr>
        <sz val="12"/>
        <color theme="1"/>
        <rFont val="Calibri"/>
        <family val="2"/>
        <scheme val="minor"/>
      </rPr>
      <t xml:space="preserve">selecting on case status, such as diabetes, which will induce an association between exposure (family history) and outcome (obesity). </t>
    </r>
    <r>
      <rPr>
        <sz val="10"/>
        <color rgb="FF000000"/>
        <rFont val="Cambria"/>
        <family val="1"/>
      </rPr>
      <t xml:space="preserve">Only one of exposure or outcome being a modulator of the criterion means that the safeguard is still present. </t>
    </r>
  </si>
  <si>
    <r>
      <t>4.</t>
    </r>
    <r>
      <rPr>
        <b/>
        <sz val="7"/>
        <color rgb="FF000000"/>
        <rFont val="Times New Roman"/>
        <family val="1"/>
      </rPr>
      <t xml:space="preserve">     </t>
    </r>
    <r>
      <rPr>
        <b/>
        <sz val="10"/>
        <color rgb="FF000000"/>
        <rFont val="Cambria"/>
        <family val="1"/>
      </rPr>
      <t>None of the eligibility criteria were common effects of exposure and outcome</t>
    </r>
  </si>
  <si>
    <t xml:space="preserve">This safeguard is considered present if the start of follow-up coincides with both determination of eligibility criteria and with participant assignment to intervention / exposure and control groups. In addition, this process must have been similar for all participants. This safeguard may be considered absent in observational studies where determination of eligibility can be at the start of follow-up, but the treatment/ exposure could have been assigned a) before or b) after the start of follow-up. An example is a) participants on medication who continue using at the start of follow-up or b) participant not previously using medication who start using some time after the start of follow-up. Two other problems involve moving eligibility before assignment (in example a) or moving eligibility after assignment (in example b). All four problems mean that this safeguard is absent. This safeguard is considered present if the study design is a randomised controlled trial.      </t>
  </si>
  <si>
    <r>
      <t>3.</t>
    </r>
    <r>
      <rPr>
        <b/>
        <sz val="7"/>
        <color rgb="FF000000"/>
        <rFont val="Times New Roman"/>
        <family val="1"/>
      </rPr>
      <t xml:space="preserve">     </t>
    </r>
    <r>
      <rPr>
        <b/>
        <sz val="10"/>
        <color rgb="FF000000"/>
        <rFont val="Cambria"/>
        <family val="1"/>
      </rPr>
      <t xml:space="preserve">Determination of eligibility and assignment to treatment group/ exposure strategy were synchronised   </t>
    </r>
  </si>
  <si>
    <r>
      <t xml:space="preserve">This safeguard is considered present if participants across all groups were recruited from the same population and within the same timeframe and could meet the same eligibility requirements. If there were contrived comparison groups, this safeguard is absent. </t>
    </r>
    <r>
      <rPr>
        <sz val="10"/>
        <color rgb="FF000000"/>
        <rFont val="Cambria"/>
        <family val="1"/>
      </rPr>
      <t xml:space="preserve">Case-control studies with a clear primary or secondary study base from which eligible participants are then recruited are deemed to have met this safeguard. A randomised controlled trial design automatically means this safeguard is present. </t>
    </r>
  </si>
  <si>
    <r>
      <t>2.</t>
    </r>
    <r>
      <rPr>
        <b/>
        <sz val="7"/>
        <color theme="1"/>
        <rFont val="Times New Roman"/>
        <family val="1"/>
      </rPr>
      <t xml:space="preserve">     </t>
    </r>
    <r>
      <rPr>
        <b/>
        <sz val="10"/>
        <color theme="1"/>
        <rFont val="Cambria"/>
        <family val="1"/>
      </rPr>
      <t>Participants in all comparison groups met the same eligibility requirements and were from the same population and timeframe</t>
    </r>
  </si>
  <si>
    <t>This safeguard applies to all analytic study designs and is considered present if there was no further selection (or exclusions) of participants after the start of the study (as defined by study authors) or if there was evidence that any selection that occurred after the start of the study was unrelated to the intervention and development of the outcome. For example, if BMI was recorded after the start of a study on GDM and women were excluded based on a BMI cut-off this safeguard would be considered absent.</t>
  </si>
  <si>
    <r>
      <t>1.</t>
    </r>
    <r>
      <rPr>
        <b/>
        <sz val="7"/>
        <color theme="1"/>
        <rFont val="Times New Roman"/>
        <family val="1"/>
      </rPr>
      <t xml:space="preserve">     </t>
    </r>
    <r>
      <rPr>
        <b/>
        <sz val="10"/>
        <color theme="1"/>
        <rFont val="Cambria"/>
        <family val="1"/>
      </rPr>
      <t>Data collected after the start of the study was not used to exclude participants or to select them into the analysis</t>
    </r>
  </si>
  <si>
    <r>
      <t>Equal recruitment</t>
    </r>
    <r>
      <rPr>
        <b/>
        <sz val="10"/>
        <color rgb="FF000000"/>
        <rFont val="Cambria"/>
        <family val="1"/>
      </rPr>
      <t xml:space="preserve">                                                        </t>
    </r>
  </si>
  <si>
    <t>Safeguard item</t>
  </si>
  <si>
    <t>Jafari, 2020</t>
  </si>
  <si>
    <t>Case</t>
  </si>
  <si>
    <t>Control</t>
  </si>
  <si>
    <t>ESBL+</t>
  </si>
  <si>
    <t>ESBL-</t>
  </si>
  <si>
    <t>non-XDR</t>
  </si>
  <si>
    <t>VRE</t>
  </si>
  <si>
    <t>VSE</t>
  </si>
  <si>
    <t>non-MDR</t>
  </si>
  <si>
    <t>MRSA</t>
  </si>
  <si>
    <t>MSSA</t>
  </si>
  <si>
    <t>CREN</t>
  </si>
  <si>
    <t>CSEN</t>
  </si>
  <si>
    <t>CERKP</t>
  </si>
  <si>
    <t>CESKP</t>
  </si>
  <si>
    <t>CRPA</t>
  </si>
  <si>
    <t>CSPA</t>
  </si>
  <si>
    <t>CRKP</t>
  </si>
  <si>
    <t>CSKP</t>
  </si>
  <si>
    <t>CRAB</t>
  </si>
  <si>
    <t>CSAB</t>
  </si>
  <si>
    <t>IRAB</t>
  </si>
  <si>
    <t>ISAB</t>
  </si>
  <si>
    <t>CRSKP</t>
  </si>
  <si>
    <t>CRGN</t>
  </si>
  <si>
    <t>CSGN</t>
  </si>
  <si>
    <t>CiREC</t>
  </si>
  <si>
    <t>CiSEC</t>
  </si>
  <si>
    <t>CR</t>
  </si>
  <si>
    <t>CS</t>
  </si>
  <si>
    <t>ARE</t>
  </si>
  <si>
    <t>ASE</t>
  </si>
  <si>
    <t>ORSA</t>
  </si>
  <si>
    <t>OSSA</t>
  </si>
  <si>
    <t>CEREC</t>
  </si>
  <si>
    <t>CESEC</t>
  </si>
  <si>
    <t>CREC</t>
  </si>
  <si>
    <t>CSEC</t>
  </si>
  <si>
    <t>FRS</t>
  </si>
  <si>
    <t>FSS</t>
  </si>
  <si>
    <t>Moraxellaceae, Pseudomonadaceae</t>
  </si>
  <si>
    <t>rESKAPE</t>
  </si>
  <si>
    <t>sESKAPE</t>
  </si>
  <si>
    <t>Group comparison</t>
  </si>
  <si>
    <t>Score Absolute value</t>
  </si>
  <si>
    <t>excluded recurrent infection - more severe/ harder to treat cases were excluded from the analysis.</t>
  </si>
  <si>
    <t>THIS WOULD APPLY TO ANY STUDY ON DIABETES OR OTHER UNDERLYING HEALTH COND</t>
  </si>
  <si>
    <t>They don’t apear to have excluded participants due to missing data or other reasons - all patients with infection enrolled</t>
  </si>
  <si>
    <t>numbers in analysis match those in methods</t>
  </si>
  <si>
    <t>met because no missing data</t>
  </si>
  <si>
    <t>Patients don’t appear to have changed groups</t>
  </si>
  <si>
    <t>NA - Q8 met</t>
  </si>
  <si>
    <t>Hard outcome - mortality</t>
  </si>
  <si>
    <t>To discuss</t>
  </si>
  <si>
    <t>Participants would have known if they were deteriorating and maybe informed of resistence</t>
  </si>
  <si>
    <t xml:space="preserve">Those delivering care would have known of patient status. </t>
  </si>
  <si>
    <t>No report that the analyst was blinded</t>
  </si>
  <si>
    <t>Supportive care would have been patient-based and therefore unequal</t>
  </si>
  <si>
    <t>No - table</t>
  </si>
  <si>
    <t>death</t>
  </si>
  <si>
    <t>mortality period the same - 7 day, 28 day etc</t>
  </si>
  <si>
    <t>table</t>
  </si>
  <si>
    <t>Confounding not discussed however, some general confounders were added to the analysis</t>
  </si>
  <si>
    <t>not equal - see table</t>
  </si>
  <si>
    <t>no randomisation as retrospective design</t>
  </si>
  <si>
    <t>no as retrospective</t>
  </si>
  <si>
    <t xml:space="preserve">To discuss - typical multivariate analysis. </t>
  </si>
  <si>
    <t>errors in numbers</t>
  </si>
  <si>
    <t xml:space="preserve">multivariate analysis based on significant univariate tests - not uncommon </t>
  </si>
  <si>
    <t>ATB were not delivered equally between groups</t>
  </si>
  <si>
    <t>bacteremias of polymicrobial etiology were excluded</t>
  </si>
  <si>
    <t>Hospitalised patients, having positive blood cultures and presenting syntoms of infections (i.e. being infected), were included which is in line with our exclusion criteria.</t>
  </si>
  <si>
    <t xml:space="preserve">They dont exclude any participant
</t>
  </si>
  <si>
    <t xml:space="preserve">They don’t exlude participants, only a few that is less than 7% for the multivariate analysis (Table 2, see text, vs Table 1)
</t>
  </si>
  <si>
    <t>didn’t account for missing obs (136-122= 14 m obs)</t>
  </si>
  <si>
    <t>Patients don’t change their group</t>
  </si>
  <si>
    <t>They excluded 2 of the original 32 participants, which is less than 20%</t>
  </si>
  <si>
    <t>non-missing data reported</t>
  </si>
  <si>
    <t>hard outcome: death</t>
  </si>
  <si>
    <t>hard outcome: death : but also ICU admission</t>
  </si>
  <si>
    <t>Nothing on this</t>
  </si>
  <si>
    <t>No cointerventions presented, no difference in  underlying health conditions.</t>
  </si>
  <si>
    <t>Higher length of stay before blood culture for resistant group</t>
  </si>
  <si>
    <t>Different previous ATB consumption and initial ATB choice</t>
  </si>
  <si>
    <t>Did not change and nothing reported on ATB consumed</t>
  </si>
  <si>
    <t>30 days mortality</t>
  </si>
  <si>
    <t>only univariate analysis</t>
  </si>
  <si>
    <t>multivariate analyses</t>
  </si>
  <si>
    <t>Not discussed</t>
  </si>
  <si>
    <t>No justification or DAG analyses</t>
  </si>
  <si>
    <t>Not equal (Table 1), nosocomial infections.</t>
  </si>
  <si>
    <t>Not equal, length of stay and invasive devices were different</t>
  </si>
  <si>
    <t>no randomisation, prospective design</t>
  </si>
  <si>
    <t>prospective design</t>
  </si>
  <si>
    <t>Not declared</t>
  </si>
  <si>
    <t>conflicts declared at the end</t>
  </si>
  <si>
    <t>Univariate analyses only, and nothing discussed related to the nature of the data</t>
  </si>
  <si>
    <t>Non justification provided</t>
  </si>
  <si>
    <t xml:space="preserve">nothing apart from univariate analyses, however, we cannot see that they have selectively reported the outcome or run many analyses/ subgroup analyses looking for significant associations then this safeguard is met and can be scored as a one.
 </t>
  </si>
  <si>
    <t>Participants who were lost to follow-up or had incomplete data were excluded, but this is part of missing data rather than equal recruitment. None other particpant was excluded.</t>
  </si>
  <si>
    <t>patients with cancer</t>
  </si>
  <si>
    <t>Exclusion was 20%, 111 patients out of the 138.</t>
  </si>
  <si>
    <t>survival or mortality; hard outcome</t>
  </si>
  <si>
    <t>No, see Table 1.</t>
  </si>
  <si>
    <t>Table 2, differences in the use of ATB</t>
  </si>
  <si>
    <t>Survival at 12 weeks after onset of bacteraemia</t>
  </si>
  <si>
    <t>Table 4</t>
  </si>
  <si>
    <t>It was based on findings from previous studies (4-8)</t>
  </si>
  <si>
    <t>See table 1</t>
  </si>
  <si>
    <t xml:space="preserve">non randomisation </t>
  </si>
  <si>
    <t>Normality of data was checked using Shapiro-Wilk test. Comparisons between characteristics of patients with VRE and VSE bacteraemia were done using parametric tests: t-test for continuous variable and chi-square test for categorical variable</t>
  </si>
  <si>
    <t>multivariate and univariate analyses employed : Table 4</t>
  </si>
  <si>
    <t>Table 2</t>
  </si>
  <si>
    <t>Non multivariate analysis using death as an outcome</t>
  </si>
  <si>
    <t>Nothing explained</t>
  </si>
  <si>
    <t>Table 1</t>
  </si>
  <si>
    <t>non</t>
  </si>
  <si>
    <t>test were applied  according to the distribution of the variables</t>
  </si>
  <si>
    <t>Table 1, the different options for the focus of the infection variable don’t add up the total number of obs</t>
  </si>
  <si>
    <t>non multivariate analysis for the outcome (death)</t>
  </si>
  <si>
    <t>patients with pressure ulcers</t>
  </si>
  <si>
    <t>Nothing mentioned on characteristics per resistant/susceptible group</t>
  </si>
  <si>
    <t>multivariate analysis</t>
  </si>
  <si>
    <t>was not discussed</t>
  </si>
  <si>
    <t>No information on this by resistant/susceptible group</t>
  </si>
  <si>
    <t>non randomisation</t>
  </si>
  <si>
    <t>Tests employed accordingly to the distrbution of the variables</t>
  </si>
  <si>
    <t>multivariate analysis for the outcome death</t>
  </si>
  <si>
    <t>MASTER Scale Safeguards//Study:</t>
  </si>
  <si>
    <t>Non-missing data</t>
  </si>
  <si>
    <t xml:space="preserve">Previous ATB consumption used as exposure </t>
  </si>
  <si>
    <t>1</t>
  </si>
  <si>
    <t>1. MORTALITY OUTCOME</t>
  </si>
  <si>
    <t>2. ICU OUTCOME</t>
  </si>
  <si>
    <t>Average results by safeguard item/section</t>
  </si>
  <si>
    <t>3. Length of hospital stay</t>
  </si>
  <si>
    <t>Summary</t>
  </si>
  <si>
    <t xml:space="preserve">Equal recruitment      </t>
  </si>
  <si>
    <t xml:space="preserve">Equal retention     </t>
  </si>
  <si>
    <t xml:space="preserve">Equal ascertainment      </t>
  </si>
  <si>
    <t xml:space="preserve">Equal implementation    </t>
  </si>
  <si>
    <t>Equal prognosis</t>
  </si>
  <si>
    <t xml:space="preserve">Sufficient analysis      </t>
  </si>
  <si>
    <t>Temporal precedence</t>
  </si>
  <si>
    <t>Mortality</t>
  </si>
  <si>
    <t>ICU admission</t>
  </si>
  <si>
    <t>LOS</t>
  </si>
  <si>
    <t xml:space="preserve">Notes: For question 32, a 1 was scored for all studies.  </t>
  </si>
  <si>
    <t xml:space="preserve">Equal recruitment                                                        </t>
  </si>
  <si>
    <t xml:space="preserve">Equal ascertainment                                                               </t>
  </si>
  <si>
    <t xml:space="preserve">Equal implementation                                                                                    </t>
  </si>
  <si>
    <t xml:space="preserve">Equal prognosis                                                                                                                                                                                                                                                        </t>
  </si>
  <si>
    <t xml:space="preserve">Sufficient analysis                                            </t>
  </si>
  <si>
    <t xml:space="preserve">Temporal precedence                                                                                                                             </t>
  </si>
  <si>
    <t>Outcomes</t>
  </si>
  <si>
    <t>Average count of safeguard items (raw score out of 36 items)</t>
  </si>
  <si>
    <t>Average percentage of sufficiency considering all 36 items (i.e., average raw score/36)</t>
  </si>
  <si>
    <r>
      <rPr>
        <b/>
        <sz val="12"/>
        <color theme="1"/>
        <rFont val="Times New Roman"/>
        <family val="1"/>
      </rPr>
      <t>1.</t>
    </r>
    <r>
      <rPr>
        <sz val="12"/>
        <color theme="1"/>
        <rFont val="Times New Roman"/>
        <family val="1"/>
      </rPr>
      <t>     Data collected after the start of the study was not used to exclude participants or to select them into the analysis</t>
    </r>
  </si>
  <si>
    <r>
      <rPr>
        <b/>
        <sz val="12"/>
        <color theme="1"/>
        <rFont val="Times New Roman"/>
        <family val="1"/>
      </rPr>
      <t>2. </t>
    </r>
    <r>
      <rPr>
        <sz val="12"/>
        <color theme="1"/>
        <rFont val="Times New Roman"/>
        <family val="1"/>
      </rPr>
      <t>    Participants in all comparison groups met the same eligibility requirements and were from the same population and timeframe</t>
    </r>
  </si>
  <si>
    <r>
      <rPr>
        <b/>
        <sz val="12"/>
        <color theme="1"/>
        <rFont val="Times New Roman"/>
        <family val="1"/>
      </rPr>
      <t>3.</t>
    </r>
    <r>
      <rPr>
        <sz val="12"/>
        <color theme="1"/>
        <rFont val="Times New Roman"/>
        <family val="1"/>
      </rPr>
      <t xml:space="preserve">     Determination of eligibility and assignment to treatment group/ exposure strategy were synchronised   </t>
    </r>
  </si>
  <si>
    <r>
      <rPr>
        <b/>
        <sz val="12"/>
        <color theme="1"/>
        <rFont val="Times New Roman"/>
        <family val="1"/>
      </rPr>
      <t>4.</t>
    </r>
    <r>
      <rPr>
        <sz val="12"/>
        <color theme="1"/>
        <rFont val="Times New Roman"/>
        <family val="1"/>
      </rPr>
      <t>     None of the eligibility criteria were common effects of exposure and outcome</t>
    </r>
  </si>
  <si>
    <r>
      <rPr>
        <b/>
        <sz val="12"/>
        <color theme="1"/>
        <rFont val="Times New Roman"/>
        <family val="1"/>
      </rPr>
      <t>5. </t>
    </r>
    <r>
      <rPr>
        <sz val="12"/>
        <color theme="1"/>
        <rFont val="Times New Roman"/>
        <family val="1"/>
      </rPr>
      <t xml:space="preserve">    Any attrition (or exclusions after entry) was less than 20% of total participant numbers                                       </t>
    </r>
  </si>
  <si>
    <r>
      <rPr>
        <b/>
        <sz val="12"/>
        <color theme="1"/>
        <rFont val="Times New Roman"/>
        <family val="1"/>
      </rPr>
      <t>6. </t>
    </r>
    <r>
      <rPr>
        <sz val="12"/>
        <color theme="1"/>
        <rFont val="Times New Roman"/>
        <family val="1"/>
      </rPr>
      <t xml:space="preserve">    Missing data was less than 20% </t>
    </r>
  </si>
  <si>
    <r>
      <rPr>
        <b/>
        <sz val="12"/>
        <color theme="1"/>
        <rFont val="Times New Roman"/>
        <family val="1"/>
      </rPr>
      <t>7.</t>
    </r>
    <r>
      <rPr>
        <sz val="12"/>
        <color theme="1"/>
        <rFont val="Times New Roman"/>
        <family val="1"/>
      </rPr>
      <t>     Analysis accounted for missing data</t>
    </r>
  </si>
  <si>
    <r>
      <rPr>
        <b/>
        <sz val="12"/>
        <color theme="1"/>
        <rFont val="Times New Roman"/>
        <family val="1"/>
      </rPr>
      <t>8.</t>
    </r>
    <r>
      <rPr>
        <sz val="12"/>
        <color theme="1"/>
        <rFont val="Times New Roman"/>
        <family val="1"/>
      </rPr>
      <t xml:space="preserve">     Exposure variations / treatment deviations were  less than 20% </t>
    </r>
  </si>
  <si>
    <r>
      <rPr>
        <b/>
        <sz val="12"/>
        <color theme="1"/>
        <rFont val="Times New Roman"/>
        <family val="1"/>
      </rPr>
      <t>9.</t>
    </r>
    <r>
      <rPr>
        <sz val="12"/>
        <color theme="1"/>
        <rFont val="Times New Roman"/>
        <family val="1"/>
      </rPr>
      <t xml:space="preserve">     Variations in exposure or withdrawals after start of the study were addressed by the analysis </t>
    </r>
  </si>
  <si>
    <r>
      <rPr>
        <b/>
        <sz val="12"/>
        <color theme="1"/>
        <rFont val="Times New Roman"/>
        <family val="1"/>
      </rPr>
      <t>10.</t>
    </r>
    <r>
      <rPr>
        <sz val="12"/>
        <color theme="1"/>
        <rFont val="Times New Roman"/>
        <family val="1"/>
      </rPr>
      <t xml:space="preserve"> Procedures for data collection of covariates were reliable and the same for all participants</t>
    </r>
  </si>
  <si>
    <r>
      <rPr>
        <b/>
        <sz val="12"/>
        <color theme="1"/>
        <rFont val="Times New Roman"/>
        <family val="1"/>
      </rPr>
      <t>11.</t>
    </r>
    <r>
      <rPr>
        <sz val="12"/>
        <color theme="1"/>
        <rFont val="Times New Roman"/>
        <family val="1"/>
      </rPr>
      <t xml:space="preserve"> The outcome was objective and/ or reliably measured </t>
    </r>
  </si>
  <si>
    <r>
      <rPr>
        <b/>
        <sz val="12"/>
        <color theme="1"/>
        <rFont val="Times New Roman"/>
        <family val="1"/>
      </rPr>
      <t>12.</t>
    </r>
    <r>
      <rPr>
        <sz val="12"/>
        <color theme="1"/>
        <rFont val="Times New Roman"/>
        <family val="1"/>
      </rPr>
      <t xml:space="preserve"> Exposures/ interventions were objectively and/ or reliably measured</t>
    </r>
  </si>
  <si>
    <r>
      <rPr>
        <b/>
        <sz val="12"/>
        <color theme="1"/>
        <rFont val="Times New Roman"/>
        <family val="1"/>
      </rPr>
      <t>13.</t>
    </r>
    <r>
      <rPr>
        <sz val="12"/>
        <color theme="1"/>
        <rFont val="Times New Roman"/>
        <family val="1"/>
      </rPr>
      <t xml:space="preserve"> Outcome assessor(s) were blinded </t>
    </r>
  </si>
  <si>
    <r>
      <rPr>
        <b/>
        <sz val="12"/>
        <color theme="1"/>
        <rFont val="Times New Roman"/>
        <family val="1"/>
      </rPr>
      <t>14.</t>
    </r>
    <r>
      <rPr>
        <sz val="12"/>
        <color theme="1"/>
        <rFont val="Times New Roman"/>
        <family val="1"/>
      </rPr>
      <t xml:space="preserve"> Participants were blinded</t>
    </r>
  </si>
  <si>
    <r>
      <rPr>
        <b/>
        <sz val="12"/>
        <color theme="1"/>
        <rFont val="Times New Roman"/>
        <family val="1"/>
      </rPr>
      <t>15</t>
    </r>
    <r>
      <rPr>
        <sz val="12"/>
        <color theme="1"/>
        <rFont val="Times New Roman"/>
        <family val="1"/>
      </rPr>
      <t>. Caregivers were blinded</t>
    </r>
  </si>
  <si>
    <r>
      <rPr>
        <b/>
        <sz val="12"/>
        <color theme="1"/>
        <rFont val="Times New Roman"/>
        <family val="1"/>
      </rPr>
      <t>16.</t>
    </r>
    <r>
      <rPr>
        <sz val="12"/>
        <color theme="1"/>
        <rFont val="Times New Roman"/>
        <family val="1"/>
      </rPr>
      <t xml:space="preserve"> Analyst(s) were blinded               </t>
    </r>
  </si>
  <si>
    <r>
      <rPr>
        <b/>
        <sz val="12"/>
        <color theme="1"/>
        <rFont val="Times New Roman"/>
        <family val="1"/>
      </rPr>
      <t>17.</t>
    </r>
    <r>
      <rPr>
        <sz val="12"/>
        <color theme="1"/>
        <rFont val="Times New Roman"/>
        <family val="1"/>
      </rPr>
      <t xml:space="preserve"> Care was delivered equally to all participants                                                                               </t>
    </r>
  </si>
  <si>
    <r>
      <rPr>
        <b/>
        <sz val="12"/>
        <color theme="1"/>
        <rFont val="Times New Roman"/>
        <family val="1"/>
      </rPr>
      <t>18.</t>
    </r>
    <r>
      <rPr>
        <sz val="12"/>
        <color theme="1"/>
        <rFont val="Times New Roman"/>
        <family val="1"/>
      </rPr>
      <t xml:space="preserve"> Cointerventions that could impact the outcome were comparable between groups or avoided                                 </t>
    </r>
  </si>
  <si>
    <r>
      <rPr>
        <b/>
        <sz val="12"/>
        <color theme="1"/>
        <rFont val="Times New Roman"/>
        <family val="1"/>
      </rPr>
      <t>19.</t>
    </r>
    <r>
      <rPr>
        <sz val="12"/>
        <color theme="1"/>
        <rFont val="Times New Roman"/>
        <family val="1"/>
      </rPr>
      <t xml:space="preserve"> Control and active interventions/ exposures were sufficiently distinct  </t>
    </r>
  </si>
  <si>
    <r>
      <rPr>
        <b/>
        <sz val="12"/>
        <color theme="1"/>
        <rFont val="Times New Roman"/>
        <family val="1"/>
      </rPr>
      <t>20.</t>
    </r>
    <r>
      <rPr>
        <sz val="12"/>
        <color theme="1"/>
        <rFont val="Times New Roman"/>
        <family val="1"/>
      </rPr>
      <t xml:space="preserve"> Exposure/intervention definition was consistently applied to all participants</t>
    </r>
  </si>
  <si>
    <r>
      <rPr>
        <b/>
        <sz val="12"/>
        <color theme="1"/>
        <rFont val="Times New Roman"/>
        <family val="1"/>
      </rPr>
      <t>21.</t>
    </r>
    <r>
      <rPr>
        <sz val="12"/>
        <color theme="1"/>
        <rFont val="Times New Roman"/>
        <family val="1"/>
      </rPr>
      <t xml:space="preserve"> Outcome definition was consistently applied to all participants</t>
    </r>
  </si>
  <si>
    <r>
      <rPr>
        <b/>
        <sz val="12"/>
        <color theme="1"/>
        <rFont val="Times New Roman"/>
        <family val="1"/>
      </rPr>
      <t>22.</t>
    </r>
    <r>
      <rPr>
        <sz val="12"/>
        <color theme="1"/>
        <rFont val="Times New Roman"/>
        <family val="1"/>
      </rPr>
      <t xml:space="preserve"> The time period between exposure and outcome was similar across patients and between groups or the analyses adjusted for different lengths of follow-up of patients</t>
    </r>
  </si>
  <si>
    <r>
      <rPr>
        <b/>
        <sz val="12"/>
        <color theme="1"/>
        <rFont val="Times New Roman"/>
        <family val="1"/>
      </rPr>
      <t>23.</t>
    </r>
    <r>
      <rPr>
        <sz val="12"/>
        <color theme="1"/>
        <rFont val="Times New Roman"/>
        <family val="1"/>
      </rPr>
      <t xml:space="preserve"> Design and/or analysis strategies were in place that addressed potential confounding </t>
    </r>
  </si>
  <si>
    <r>
      <rPr>
        <b/>
        <sz val="12"/>
        <color theme="1"/>
        <rFont val="Times New Roman"/>
        <family val="1"/>
      </rPr>
      <t>25</t>
    </r>
    <r>
      <rPr>
        <sz val="12"/>
        <color theme="1"/>
        <rFont val="Times New Roman"/>
        <family val="1"/>
      </rPr>
      <t>. Key baseline characteristics / prognostic indicators for the study were comparable across groups</t>
    </r>
  </si>
  <si>
    <r>
      <rPr>
        <b/>
        <sz val="12"/>
        <color theme="1"/>
        <rFont val="Times New Roman"/>
        <family val="1"/>
      </rPr>
      <t>24.</t>
    </r>
    <r>
      <rPr>
        <sz val="12"/>
        <color theme="1"/>
        <rFont val="Times New Roman"/>
        <family val="1"/>
      </rPr>
      <t xml:space="preserve"> Key confounders addressed through design or analysis were not common effects of exposure and outcome </t>
    </r>
  </si>
  <si>
    <r>
      <rPr>
        <b/>
        <sz val="12"/>
        <color theme="1"/>
        <rFont val="Times New Roman"/>
        <family val="1"/>
      </rPr>
      <t>26.</t>
    </r>
    <r>
      <rPr>
        <sz val="12"/>
        <color theme="1"/>
        <rFont val="Times New Roman"/>
        <family val="1"/>
      </rPr>
      <t xml:space="preserve"> Participants were randomly allocated to groups with an adequate randomisation process </t>
    </r>
  </si>
  <si>
    <r>
      <rPr>
        <b/>
        <sz val="12"/>
        <color theme="1"/>
        <rFont val="Times New Roman"/>
        <family val="1"/>
      </rPr>
      <t>27.</t>
    </r>
    <r>
      <rPr>
        <sz val="12"/>
        <color theme="1"/>
        <rFont val="Times New Roman"/>
        <family val="1"/>
      </rPr>
      <t xml:space="preserve"> Allocation procedure was adequately concealed</t>
    </r>
  </si>
  <si>
    <r>
      <rPr>
        <b/>
        <sz val="12"/>
        <color theme="1"/>
        <rFont val="Times New Roman"/>
        <family val="1"/>
      </rPr>
      <t xml:space="preserve">28. </t>
    </r>
    <r>
      <rPr>
        <sz val="12"/>
        <color theme="1"/>
        <rFont val="Times New Roman"/>
        <family val="1"/>
      </rPr>
      <t xml:space="preserve">Conflict of interests were declared and absent                                                                        </t>
    </r>
  </si>
  <si>
    <r>
      <rPr>
        <b/>
        <sz val="12"/>
        <color theme="1"/>
        <rFont val="Times New Roman"/>
        <family val="1"/>
      </rPr>
      <t>29.</t>
    </r>
    <r>
      <rPr>
        <sz val="12"/>
        <color theme="1"/>
        <rFont val="Times New Roman"/>
        <family val="1"/>
      </rPr>
      <t xml:space="preserve"> Analytic method was justified by study design or data requirements</t>
    </r>
  </si>
  <si>
    <r>
      <rPr>
        <b/>
        <sz val="12"/>
        <color theme="1"/>
        <rFont val="Times New Roman"/>
        <family val="1"/>
      </rPr>
      <t>30.</t>
    </r>
    <r>
      <rPr>
        <sz val="12"/>
        <color theme="1"/>
        <rFont val="Times New Roman"/>
        <family val="1"/>
      </rPr>
      <t xml:space="preserve"> Computation errors or contradictions were absent</t>
    </r>
  </si>
  <si>
    <r>
      <rPr>
        <b/>
        <sz val="12"/>
        <color theme="1"/>
        <rFont val="Times New Roman"/>
        <family val="1"/>
      </rPr>
      <t>31.</t>
    </r>
    <r>
      <rPr>
        <sz val="12"/>
        <color theme="1"/>
        <rFont val="Times New Roman"/>
        <family val="1"/>
      </rPr>
      <t xml:space="preserve"> There was no discernible data dredging or selective reporting of the outcomes</t>
    </r>
  </si>
  <si>
    <r>
      <rPr>
        <b/>
        <sz val="12"/>
        <color theme="1"/>
        <rFont val="Times New Roman"/>
        <family val="1"/>
      </rPr>
      <t>32.</t>
    </r>
    <r>
      <rPr>
        <sz val="12"/>
        <color theme="1"/>
        <rFont val="Times New Roman"/>
        <family val="1"/>
      </rPr>
      <t xml:space="preserve"> All subjects were selected prior to intervention/ exposure and evaluated prospectively </t>
    </r>
  </si>
  <si>
    <r>
      <rPr>
        <b/>
        <sz val="12"/>
        <color theme="1"/>
        <rFont val="Times New Roman"/>
        <family val="1"/>
      </rPr>
      <t xml:space="preserve">33. </t>
    </r>
    <r>
      <rPr>
        <sz val="12"/>
        <color theme="1"/>
        <rFont val="Times New Roman"/>
        <family val="1"/>
      </rPr>
      <t>Carry-over or refractory effects were avoided or considered in the design of the study or were not relevant</t>
    </r>
  </si>
  <si>
    <r>
      <rPr>
        <b/>
        <sz val="12"/>
        <color theme="1"/>
        <rFont val="Times New Roman"/>
        <family val="1"/>
      </rPr>
      <t>34.</t>
    </r>
    <r>
      <rPr>
        <sz val="12"/>
        <color theme="1"/>
        <rFont val="Times New Roman"/>
        <family val="1"/>
      </rPr>
      <t xml:space="preserve"> The intervention/ exposure period was long enough to have influenced the study outcome</t>
    </r>
  </si>
  <si>
    <r>
      <rPr>
        <b/>
        <sz val="12"/>
        <color theme="1"/>
        <rFont val="Times New Roman"/>
        <family val="1"/>
      </rPr>
      <t>35.</t>
    </r>
    <r>
      <rPr>
        <sz val="12"/>
        <color theme="1"/>
        <rFont val="Times New Roman"/>
        <family val="1"/>
      </rPr>
      <t xml:space="preserve"> Dose of intervention/ exposure was sufficient to influence the outcome</t>
    </r>
  </si>
  <si>
    <r>
      <rPr>
        <b/>
        <sz val="12"/>
        <color theme="1"/>
        <rFont val="Times New Roman"/>
        <family val="1"/>
      </rPr>
      <t xml:space="preserve">36. </t>
    </r>
    <r>
      <rPr>
        <sz val="12"/>
        <color theme="1"/>
        <rFont val="Times New Roman"/>
        <family val="1"/>
      </rPr>
      <t xml:space="preserve">Length of follow-up was not too long or too short in relation to the outcome assessment </t>
    </r>
  </si>
  <si>
    <t>Safeguard items and sub-items</t>
  </si>
  <si>
    <t>MRSA or VRE</t>
  </si>
  <si>
    <t>MSSA or VSE</t>
  </si>
  <si>
    <t>Socioeconomic Burden of Bloodstream Infections Caused by Carbapenem-Resistant Enterobacteriaceae</t>
  </si>
  <si>
    <t>Comparison of Risk Factors and Outcomes in Carbapenem-Resistant and Carbapenem-Susceptible Gram-Negative Bacteremia</t>
  </si>
  <si>
    <t>Outcomes and Risk Factors of Bloodstream Infections Caused by Carbapenem-Resistant and Non-Carbapenem-Resistant Klebsiella pneumoniae in China</t>
  </si>
  <si>
    <t>Bacteriological Profile and Antimicrobial Susceptibility Patterns of Gram-Negative Bloodstream Infection and Risk Factors Associated with Mortality and Drug Resistance: A Retrospective Study from Shanxi, China</t>
  </si>
  <si>
    <t>Gram-Negative Bacteria Bloodstream Infections in Patients with Hematological Malignancies - The Impact of Pathogen Type and Patterns of Antibiotic Resistance: A Retrospective Cohort Study</t>
  </si>
  <si>
    <t>Clinical and Bacterial Characteristics of Klebsiella pneumoniae Affecting 30-Day Mortality in Patients With Bloodstream Infection</t>
  </si>
  <si>
    <t>Wu X, Shi Q, Shen S, Huang C, Wu H.</t>
  </si>
  <si>
    <t>Socioeconomic burden of bloodstream infections caused by carbapenem-resistant and carbapenem-susceptible Pseudomonas aeruginosa in China</t>
  </si>
  <si>
    <t>31_1</t>
  </si>
  <si>
    <t>31_2</t>
  </si>
  <si>
    <t>Multicenter Study of the Risk Factors and Outcomes of Bloodstream Infections Caused by Carbapenem-Non-Susceptible Acinetobacter baumannii in Indonesia</t>
  </si>
  <si>
    <t>Indonesia</t>
  </si>
  <si>
    <t>Risk factors and mortality for elderly patients with bloodstream infection of carbapenem resistance Klebsiella pneumoniae: a 10-year longitudinal study</t>
  </si>
  <si>
    <t>2850 beds of First Affiliated Hospital of Sun Yat-sen University from January 2011 to December 2020</t>
  </si>
  <si>
    <t>Patients aged ≥ 65 years with confirmed K. pneumoniae BSI were included.</t>
  </si>
  <si>
    <t>Dramowski A, Aiken AM, Rehman AM, Snyman Y, Reuter S, Grundmann H, Scott JAG, de Kraker MEA, Whitelaw A.</t>
  </si>
  <si>
    <t>Mortality associated with third-generation cephalosporin resistance in Enterobacteriaceae bloodstream infections at one South African hospital</t>
  </si>
  <si>
    <t>CEREN</t>
  </si>
  <si>
    <t>CESEN</t>
  </si>
  <si>
    <t>Tygerberg Hospital is a 1,384-bed public teaching hospital in Cape Town, South Africa</t>
  </si>
  <si>
    <t>ll inpatients with laboratory-confirmed mono-microbial E. coli or K. pneumoniae bloodstream infection (BSI) episodes were prospectively enrolled between 1 June 2017 and 31 January 2018</t>
  </si>
  <si>
    <t>Frailty and Neutrophil Lymphocyte Ratio as Predictors of Mortality in Patients with Catheter-Associated Urinary Tract Infections or Central Line-Associated Bloodstream Infections in the Neurosurgical Intensive Care Unit: Insights from a Retrospective Study in a Developing Country</t>
  </si>
  <si>
    <t xml:space="preserve">Department of Neurosurgery, All India Institute of Medical Sciences, New Delhi, India, a tertiarycare apex referral center. </t>
  </si>
  <si>
    <t>all patients admitted to the neurosurgical ICU between January 2018 and December 2019 with microbiological evidence of CLABSI and CAUTI using culture reports and antimicrobial  susceptibility results</t>
  </si>
  <si>
    <t>Attributable mortality and excess length of stay associated with third-generation cephalosporin-resistant Enterobacterales bloodstream infections: a prospective cohort study in Suva, Fiji</t>
  </si>
  <si>
    <t>Fiji</t>
  </si>
  <si>
    <t xml:space="preserve">Colonial War Memo- rial Hospital (CWMH) in Suva, over eight months from July 2020 through February 2021. </t>
  </si>
  <si>
    <t>All patients with an Enterobacterales BSI were eligible if they were admitted to CWMH at the time of or up to 48 hours after collec- tion of their index blood culture</t>
  </si>
  <si>
    <t>High mortality from carbapenem-resistant Klebsiella pneumoniae bloodstream infection</t>
  </si>
  <si>
    <t>Tertiary hospital in southern Brazil</t>
  </si>
  <si>
    <t>Patients hospitalized from January 2015 to December 2018 who presented BSI by K. pneumoniae were included in this study</t>
  </si>
  <si>
    <t>Risk factors for antibiotic resistance and mortality in patients with bloodstream infection of Escherichia coli</t>
  </si>
  <si>
    <t>Secondary hospital of southeast China: Lanxi Peo- ple’s Hospital.</t>
  </si>
  <si>
    <t xml:space="preserve"> All the patients with positive blood cultures of E. coli met the diagnostic criteria of the bloodstream infections from January 2012 to December 2015</t>
  </si>
  <si>
    <t>A multicenter case-control study was conducted in three province referral hospitals located on two major islands in Indonesia: Arifin Achmad Hospital (600-bed hospital) in Pekanbaru (Sumatra Island); Dr. Soetomo Hospital (1500-bed hospital) in Surabaya (Java Island), and Dr. Saiful Anwar Hospital (800-bed hospital) in Malang (Java Island).</t>
  </si>
  <si>
    <t>Cases were defined as bacteremia patients from whom CNSAB was isolated from their blood. Controls were patients with bacteremia from whom carbapenem-susceptible A. baumannii (CSAB) was isolated from the blood specimen. Samples were collected retrospectively from January 2019 to December 2021.</t>
  </si>
  <si>
    <t>9_1</t>
  </si>
  <si>
    <t>9_2</t>
  </si>
  <si>
    <t>9_3</t>
  </si>
  <si>
    <t>9_4</t>
  </si>
  <si>
    <t>35_1</t>
  </si>
  <si>
    <t>35_2</t>
  </si>
  <si>
    <t>35_3</t>
  </si>
  <si>
    <t>45_1</t>
  </si>
  <si>
    <t>45_2</t>
  </si>
  <si>
    <t>45_3</t>
  </si>
  <si>
    <t>45_4</t>
  </si>
  <si>
    <t>45_5</t>
  </si>
  <si>
    <t>53_1</t>
  </si>
  <si>
    <t>53_2</t>
  </si>
  <si>
    <t>68_1</t>
  </si>
  <si>
    <t>68_2</t>
  </si>
  <si>
    <t>68_3</t>
  </si>
  <si>
    <t>69_1</t>
  </si>
  <si>
    <t>69_2</t>
  </si>
  <si>
    <t>69_3</t>
  </si>
  <si>
    <t>69_4</t>
  </si>
  <si>
    <t>69_5</t>
  </si>
  <si>
    <t>69_6</t>
  </si>
  <si>
    <t>69_7</t>
  </si>
  <si>
    <t>73_1</t>
  </si>
  <si>
    <t>73_2</t>
  </si>
  <si>
    <t>73_3</t>
  </si>
  <si>
    <t>84_1</t>
  </si>
  <si>
    <t>84_2</t>
  </si>
  <si>
    <t>84_3</t>
  </si>
  <si>
    <t>100_1</t>
  </si>
  <si>
    <t>100_2</t>
  </si>
  <si>
    <t xml:space="preserve"> Şişli Hamidiye Etfal Training and Research Hospital</t>
  </si>
  <si>
    <t>First episodes of adult male and female patients (over 18 years of age) who were hospitalized in our hospital with Gram-negative bacterial growth as a causative agent of infection in blood culture were included in the study between 2016-2017</t>
  </si>
  <si>
    <t>10 tertiary hospitals in Guangdong Province, China</t>
  </si>
  <si>
    <t>All patients between 2010 and 2018,</t>
  </si>
  <si>
    <t>CREN in Multivariate analysis was not significant (p-value&gt;0.1)</t>
  </si>
  <si>
    <t>$17762</t>
  </si>
  <si>
    <t>$8075</t>
  </si>
  <si>
    <t>All patients with BSIs from January 2015 to December 2019</t>
  </si>
  <si>
    <t>Second hospital of Shanxi Medical University, an educational 2700-bed inpatient center</t>
  </si>
  <si>
    <t>Three university- affiliated hospitals in Hunan Province, China</t>
  </si>
  <si>
    <t xml:space="preserve">All patients with episodes of GN-BSIs in patients (age ≥16 years) with hematologic malignancies from January 2010 to May 2018. </t>
  </si>
  <si>
    <t xml:space="preserve">1200-bed tertiary teaching hospital in Zhejiang Province, China. </t>
  </si>
  <si>
    <t>all patients with KP BSI at a between January 1, 2016, and December 31, 2019,</t>
  </si>
  <si>
    <t>Tertiary teaching hospital</t>
  </si>
  <si>
    <t>All patients with PSAE BSI</t>
  </si>
  <si>
    <t>Tertiary teaching hospital which is a 2500-bed teaching hospital in Eastern China</t>
  </si>
  <si>
    <t>All patients &gt;16 years hospitalised with Enterobacteriaceae bacteremia were included at the time of the first episode of infection between January 2013 to December 2015</t>
  </si>
  <si>
    <t>Anggraini, 2022</t>
  </si>
  <si>
    <t>Cetin, 2021</t>
  </si>
  <si>
    <t>Chen, 2022</t>
  </si>
  <si>
    <t>Dramowski, 2022</t>
  </si>
  <si>
    <t>Goda, 2022</t>
  </si>
  <si>
    <t>Liang, 2021</t>
  </si>
  <si>
    <t>Loftus, 2022</t>
  </si>
  <si>
    <t>Shi, 2022</t>
  </si>
  <si>
    <t>Soares, 2022</t>
  </si>
  <si>
    <t>Tang, 2021</t>
  </si>
  <si>
    <t>Tang, Y, Xu C, Xiao H, Wang L, Cheng Q, Li X.</t>
  </si>
  <si>
    <t>Soares, de Moraes L, Gomes Magalhaes GL, Material Soncini JG, Pelisson M, Eches Perugini MR, Vespero EC.</t>
  </si>
  <si>
    <t>Shi, N, Kang J, Wang S, Song Y, Yin D, Li X, Guo Q, Duan J, Zhang S.</t>
  </si>
  <si>
    <t>Yang, K, Xiao T, Shi Q, Zhu Y, Ye J, Zhou Y, Xiao Y.</t>
  </si>
  <si>
    <t>Zhao, S, Wu Y, Dai Z, Chen Y, Zhou X, Zhao J.</t>
  </si>
  <si>
    <t>Zhu, Y, Xiao T, Wang Y, Yang K, Zhou Y, Luo Q, Shen P, Xiao Y.</t>
  </si>
  <si>
    <t>Loftus, MJ, Young-Sharma TEMW, Lee SJ, Wati S, Badoordeen GZ, Blakeway LV, Byers SMH, Cheng AC, Cooper BS, Cottingham H, Jenney AWJ, Hawkey J, Macesic N, Naidu R, Prasad A, Prasad V, Tudravu L, Vakatawa T, van Gorp E, Wisniewski JA, Rafai E, Peleg AY, Stewardson AJ.</t>
  </si>
  <si>
    <t>Liang, X, Chen P, Deng B, Sun FH, Yang Y, Yang Y, He R, Qin M, Wu Y, Yang F, Tian GB, Dai M.</t>
  </si>
  <si>
    <t>Goda, R, Sharma R, Borkar SA, Katiyar V, Narwal P, Ganeshkumar A, Mohapatra S, Suri A, Kapil A, Chandra PS, Kale SS.</t>
  </si>
  <si>
    <t>Chen, Y, Chen Y, Liu P, Guo P, Wu Z, Peng Y, Deng J, Kong Y, Cui Y, Liao K, Huang B.</t>
  </si>
  <si>
    <t>Cetin, S, Dokmetas I, Hamidi AA, Bayraktar B, Gunduz A, Sevgi DY.</t>
  </si>
  <si>
    <t>Anggraini, D, Santosaningsih D, Endraswari PD, Jasmin N, Siregar FM, Hadi U, Kuntaman K.</t>
  </si>
  <si>
    <t>Wu, 2021</t>
  </si>
  <si>
    <t>Yang, 2021</t>
  </si>
  <si>
    <t>Zhao, 2022</t>
  </si>
  <si>
    <t>Zhu,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</si>
</sst>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2"/>
      <color theme="1"/>
      <name val="Calibri"/>
      <family val="2"/>
      <scheme val="minor"/>
    </font>
    <font>
      <sz val="12"/>
      <color theme="1"/>
      <name val="Times New Roman"/>
      <family val="1"/>
    </font>
    <font>
      <b/>
      <sz val="12"/>
      <color theme="1"/>
      <name val="Times New Roman"/>
      <family val="1"/>
    </font>
    <font>
      <sz val="12"/>
      <color rgb="FF000000"/>
      <name val="Times New Roman"/>
      <family val="1"/>
    </font>
    <font>
      <sz val="10"/>
      <color theme="1"/>
      <name val="Times New Roman"/>
      <family val="1"/>
    </font>
    <font>
      <i/>
      <sz val="12"/>
      <color theme="1"/>
      <name val="Times New Roman"/>
      <family val="1"/>
    </font>
    <font>
      <sz val="11"/>
      <color rgb="FF0E101A"/>
      <name val="Calibri"/>
      <family val="2"/>
    </font>
    <font>
      <sz val="11"/>
      <color theme="1"/>
      <name val="Calibri"/>
      <family val="2"/>
      <scheme val="minor"/>
    </font>
    <font>
      <b/>
      <i/>
      <sz val="10"/>
      <color rgb="FF000000"/>
      <name val="Cambria"/>
      <family val="1"/>
    </font>
    <font>
      <sz val="10"/>
      <color theme="1"/>
      <name val="Cambria"/>
      <family val="1"/>
    </font>
    <font>
      <b/>
      <sz val="10"/>
      <color theme="1"/>
      <name val="Cambria"/>
      <family val="1"/>
    </font>
    <font>
      <b/>
      <sz val="7"/>
      <color theme="1"/>
      <name val="Times New Roman"/>
      <family val="1"/>
    </font>
    <font>
      <sz val="11"/>
      <color rgb="FFFF0000"/>
      <name val="Calibri"/>
      <family val="2"/>
      <scheme val="minor"/>
    </font>
    <font>
      <sz val="10"/>
      <name val="Cambria"/>
      <family val="1"/>
    </font>
    <font>
      <b/>
      <sz val="10"/>
      <name val="Cambria"/>
      <family val="1"/>
    </font>
    <font>
      <b/>
      <sz val="7"/>
      <name val="Times New Roman"/>
      <family val="1"/>
    </font>
    <font>
      <sz val="10"/>
      <color rgb="FF000000"/>
      <name val="Cambria"/>
      <family val="1"/>
    </font>
    <font>
      <b/>
      <sz val="10"/>
      <color rgb="FF000000"/>
      <name val="Cambria"/>
      <family val="1"/>
    </font>
    <font>
      <b/>
      <sz val="7"/>
      <color rgb="FF000000"/>
      <name val="Times New Roman"/>
      <family val="1"/>
    </font>
    <font>
      <b/>
      <sz val="15"/>
      <color theme="1"/>
      <name val="Times New Roman"/>
      <family val="1"/>
    </font>
    <font>
      <b/>
      <sz val="15"/>
      <color rgb="FF000000"/>
      <name val="Cambria"/>
      <family val="1"/>
    </font>
    <font>
      <b/>
      <i/>
      <sz val="15"/>
      <color rgb="FF000000"/>
      <name val="Cambria"/>
      <family val="1"/>
    </font>
    <font>
      <sz val="15"/>
      <color theme="1"/>
      <name val="Calibri"/>
      <family val="2"/>
      <scheme val="minor"/>
    </font>
    <font>
      <b/>
      <sz val="15"/>
      <color theme="1"/>
      <name val="Cambria"/>
      <family val="1"/>
    </font>
    <font>
      <sz val="15"/>
      <color theme="1"/>
      <name val="Cambria"/>
      <family val="1"/>
    </font>
    <font>
      <sz val="15"/>
      <color rgb="FF000000"/>
      <name val="Cambria"/>
      <family val="1"/>
    </font>
    <font>
      <b/>
      <sz val="15"/>
      <color theme="1"/>
      <name val="Calibri"/>
      <family val="2"/>
      <scheme val="minor"/>
    </font>
    <font>
      <sz val="15"/>
      <color theme="1"/>
      <name val="Times New Roman"/>
      <family val="1"/>
    </font>
    <font>
      <i/>
      <sz val="15"/>
      <color rgb="FF000000"/>
      <name val="Cambria"/>
      <family val="1"/>
    </font>
    <font>
      <sz val="12"/>
      <color theme="1"/>
      <name val="Calibri"/>
      <family val="2"/>
      <scheme val="minor"/>
    </font>
    <font>
      <sz val="12"/>
      <color theme="1"/>
      <name val="Cambria"/>
      <family val="1"/>
    </font>
    <font>
      <b/>
      <sz val="14"/>
      <color theme="1"/>
      <name val="Times New Roman"/>
      <family val="1"/>
    </font>
    <font>
      <b/>
      <sz val="14"/>
      <color theme="1"/>
      <name val="Cambria"/>
      <family val="1"/>
    </font>
    <font>
      <b/>
      <i/>
      <sz val="14"/>
      <color theme="1"/>
      <name val="Cambria"/>
      <family val="1"/>
    </font>
    <font>
      <b/>
      <sz val="14"/>
      <color rgb="FF000000"/>
      <name val="Cambria"/>
      <family val="1"/>
    </font>
    <font>
      <b/>
      <sz val="12"/>
      <color rgb="FF000000"/>
      <name val="Cambria"/>
      <family val="1"/>
    </font>
    <font>
      <b/>
      <sz val="22"/>
      <color theme="1"/>
      <name val="Times New Roman"/>
      <family val="1"/>
    </font>
    <font>
      <b/>
      <sz val="14"/>
      <color theme="1"/>
      <name val="Calibri"/>
      <family val="2"/>
      <scheme val="minor"/>
    </font>
    <font>
      <i/>
      <sz val="12"/>
      <color theme="1"/>
      <name val="Cambria"/>
      <family val="1"/>
    </font>
    <font>
      <b/>
      <sz val="12"/>
      <color theme="1"/>
      <name val="Cambria"/>
      <family val="1"/>
    </font>
    <font>
      <sz val="10"/>
      <color rgb="FF000000"/>
      <name val="Tahoma"/>
      <family val="2"/>
    </font>
    <font>
      <i/>
      <sz val="10"/>
      <color rgb="FF000000"/>
      <name val="Cambria"/>
      <family val="1"/>
    </font>
    <font>
      <b/>
      <sz val="10"/>
      <color rgb="FF000000"/>
      <name val="Tahoma"/>
      <family val="2"/>
    </font>
    <font>
      <sz val="10"/>
      <color rgb="FF000000"/>
      <name val="Calibri"/>
      <family val="2"/>
    </font>
    <font>
      <b/>
      <sz val="30"/>
      <color theme="1"/>
      <name val="Times New Roman"/>
      <family val="1"/>
    </font>
    <font>
      <i/>
      <sz val="10"/>
      <color rgb="FF000000"/>
      <name val="Calibri"/>
      <family val="2"/>
    </font>
    <font>
      <sz val="3"/>
      <color rgb="FF000000"/>
      <name val="Calibri"/>
      <family val="2"/>
    </font>
    <font>
      <sz val="9"/>
      <color rgb="FF000000"/>
      <name val="Calibri"/>
      <family val="2"/>
    </font>
    <font>
      <i/>
      <sz val="9"/>
      <color rgb="FF000000"/>
      <name val="Calibri"/>
      <family val="2"/>
    </font>
    <font>
      <b/>
      <sz val="9"/>
      <color rgb="FF000000"/>
      <name val="Calibri"/>
      <family val="2"/>
    </font>
    <font>
      <b/>
      <sz val="11"/>
      <color theme="1"/>
      <name val="Times New Roman"/>
      <family val="1"/>
    </font>
    <font>
      <sz val="11"/>
      <color theme="1"/>
      <name val="Times New Roman"/>
      <family val="1"/>
    </font>
  </fonts>
  <fills count="1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D9D9D9"/>
        <bgColor indexed="64"/>
      </patternFill>
    </fill>
    <fill>
      <patternFill patternType="solid">
        <fgColor theme="2"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79998168889431442"/>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double">
        <color rgb="FF7F7F7F"/>
      </left>
      <right style="double">
        <color rgb="FF7F7F7F"/>
      </right>
      <top/>
      <bottom style="double">
        <color rgb="FF7F7F7F"/>
      </bottom>
      <diagonal/>
    </border>
    <border>
      <left style="double">
        <color rgb="FF7F7F7F"/>
      </left>
      <right style="double">
        <color rgb="FF7F7F7F"/>
      </right>
      <top/>
      <bottom/>
      <diagonal/>
    </border>
    <border>
      <left style="double">
        <color rgb="FF7F7F7F"/>
      </left>
      <right style="double">
        <color rgb="FF7F7F7F"/>
      </right>
      <top style="double">
        <color rgb="FF7F7F7F"/>
      </top>
      <bottom/>
      <diagonal/>
    </border>
    <border>
      <left/>
      <right style="double">
        <color rgb="FF7F7F7F"/>
      </right>
      <top style="double">
        <color rgb="FF7F7F7F"/>
      </top>
      <bottom style="double">
        <color rgb="FF7F7F7F"/>
      </bottom>
      <diagonal/>
    </border>
    <border>
      <left style="double">
        <color rgb="FF7F7F7F"/>
      </left>
      <right/>
      <top style="double">
        <color rgb="FF7F7F7F"/>
      </top>
      <bottom style="double">
        <color rgb="FF7F7F7F"/>
      </bottom>
      <diagonal/>
    </border>
    <border>
      <left style="double">
        <color rgb="FF7F7F7F"/>
      </left>
      <right style="double">
        <color rgb="FF7F7F7F"/>
      </right>
      <top style="double">
        <color rgb="FF7F7F7F"/>
      </top>
      <bottom style="double">
        <color rgb="FF7F7F7F"/>
      </bottom>
      <diagonal/>
    </border>
    <border>
      <left/>
      <right style="hair">
        <color indexed="64"/>
      </right>
      <top style="hair">
        <color indexed="64"/>
      </top>
      <bottom style="hair">
        <color indexed="64"/>
      </bottom>
      <diagonal/>
    </border>
    <border>
      <left/>
      <right style="double">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rgb="FF7F7F7F"/>
      </bottom>
      <diagonal/>
    </border>
    <border>
      <left/>
      <right/>
      <top style="double">
        <color rgb="FF7F7F7F"/>
      </top>
      <bottom style="double">
        <color rgb="FF7F7F7F"/>
      </bottom>
      <diagonal/>
    </border>
    <border>
      <left style="double">
        <color rgb="FF7F7F7F"/>
      </left>
      <right/>
      <top style="double">
        <color rgb="FF7F7F7F"/>
      </top>
      <bottom/>
      <diagonal/>
    </border>
    <border>
      <left style="double">
        <color rgb="FF7F7F7F"/>
      </left>
      <right/>
      <top/>
      <bottom/>
      <diagonal/>
    </border>
    <border>
      <left style="double">
        <color rgb="FF7F7F7F"/>
      </left>
      <right/>
      <top/>
      <bottom style="double">
        <color rgb="FF7F7F7F"/>
      </bottom>
      <diagonal/>
    </border>
    <border>
      <left style="thin">
        <color indexed="64"/>
      </left>
      <right style="double">
        <color rgb="FF7F7F7F"/>
      </right>
      <top style="double">
        <color rgb="FF7F7F7F"/>
      </top>
      <bottom/>
      <diagonal/>
    </border>
    <border>
      <left style="thin">
        <color indexed="64"/>
      </left>
      <right style="double">
        <color rgb="FF7F7F7F"/>
      </right>
      <top/>
      <bottom/>
      <diagonal/>
    </border>
    <border>
      <left style="thin">
        <color indexed="64"/>
      </left>
      <right style="double">
        <color rgb="FF7F7F7F"/>
      </right>
      <top/>
      <bottom style="double">
        <color rgb="FF7F7F7F"/>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hair">
        <color indexed="64"/>
      </right>
      <top style="hair">
        <color indexed="64"/>
      </top>
      <bottom style="thin">
        <color indexed="64"/>
      </bottom>
      <diagonal/>
    </border>
  </borders>
  <cellStyleXfs count="3">
    <xf numFmtId="0" fontId="0" fillId="0" borderId="0"/>
    <xf numFmtId="0" fontId="7" fillId="0" borderId="0"/>
    <xf numFmtId="9" fontId="29" fillId="0" borderId="0" applyFont="0" applyFill="0" applyBorder="0" applyAlignment="0" applyProtection="0"/>
  </cellStyleXfs>
  <cellXfs count="256">
    <xf numFmtId="0" fontId="0" fillId="0" borderId="0" xfId="0"/>
    <xf numFmtId="0" fontId="1" fillId="6" borderId="3" xfId="0" applyFont="1" applyFill="1" applyBorder="1"/>
    <xf numFmtId="0" fontId="1" fillId="6" borderId="1" xfId="0" applyFont="1" applyFill="1" applyBorder="1"/>
    <xf numFmtId="0" fontId="1" fillId="6" borderId="0" xfId="0" applyFont="1" applyFill="1"/>
    <xf numFmtId="0" fontId="1" fillId="6" borderId="11" xfId="0" applyFont="1" applyFill="1" applyBorder="1"/>
    <xf numFmtId="0" fontId="1" fillId="6" borderId="13" xfId="0" applyFont="1" applyFill="1" applyBorder="1"/>
    <xf numFmtId="0" fontId="1" fillId="6" borderId="13" xfId="0" applyFont="1" applyFill="1" applyBorder="1" applyAlignment="1"/>
    <xf numFmtId="0" fontId="1" fillId="6" borderId="13" xfId="0" applyFont="1" applyFill="1" applyBorder="1" applyAlignment="1">
      <alignment horizontal="center"/>
    </xf>
    <xf numFmtId="0" fontId="1" fillId="6" borderId="0" xfId="0" applyFont="1" applyFill="1" applyAlignment="1">
      <alignment horizontal="center"/>
    </xf>
    <xf numFmtId="0" fontId="1" fillId="6" borderId="0" xfId="0" applyFont="1" applyFill="1" applyAlignment="1">
      <alignment horizontal="left"/>
    </xf>
    <xf numFmtId="0" fontId="1" fillId="6" borderId="13" xfId="0" applyFont="1" applyFill="1" applyBorder="1" applyAlignment="1">
      <alignment horizontal="left"/>
    </xf>
    <xf numFmtId="0" fontId="1" fillId="3"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1" fontId="1" fillId="3" borderId="14" xfId="0" applyNumberFormat="1" applyFont="1" applyFill="1" applyBorder="1" applyAlignment="1">
      <alignment horizontal="center"/>
    </xf>
    <xf numFmtId="0" fontId="1" fillId="3" borderId="14" xfId="0" applyFont="1" applyFill="1" applyBorder="1" applyAlignment="1">
      <alignment horizontal="center"/>
    </xf>
    <xf numFmtId="0" fontId="1" fillId="6" borderId="10" xfId="0" applyFont="1" applyFill="1" applyBorder="1" applyAlignment="1">
      <alignment horizontal="center"/>
    </xf>
    <xf numFmtId="0" fontId="3" fillId="8" borderId="0" xfId="0" applyFont="1" applyFill="1" applyBorder="1" applyAlignment="1">
      <alignment horizontal="center"/>
    </xf>
    <xf numFmtId="0" fontId="1" fillId="5" borderId="1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4" xfId="0" applyFont="1" applyFill="1" applyBorder="1" applyAlignment="1">
      <alignment horizontal="center"/>
    </xf>
    <xf numFmtId="1" fontId="1" fillId="5" borderId="14" xfId="0" applyNumberFormat="1" applyFont="1" applyFill="1" applyBorder="1" applyAlignment="1">
      <alignment horizontal="center"/>
    </xf>
    <xf numFmtId="0" fontId="1" fillId="6" borderId="0" xfId="0" applyFont="1" applyFill="1" applyBorder="1" applyAlignment="1">
      <alignment horizontal="center"/>
    </xf>
    <xf numFmtId="0" fontId="1" fillId="7" borderId="0"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4" xfId="0" applyFont="1" applyFill="1" applyBorder="1" applyAlignment="1">
      <alignment horizontal="center"/>
    </xf>
    <xf numFmtId="0" fontId="1" fillId="6" borderId="10" xfId="0" applyFont="1" applyFill="1" applyBorder="1"/>
    <xf numFmtId="0" fontId="1" fillId="6" borderId="0" xfId="0" applyFont="1" applyFill="1" applyBorder="1"/>
    <xf numFmtId="0" fontId="1" fillId="6" borderId="0" xfId="0" applyFont="1" applyFill="1" applyBorder="1" applyAlignment="1">
      <alignment horizontal="left"/>
    </xf>
    <xf numFmtId="0" fontId="1" fillId="6" borderId="9" xfId="0" applyFont="1" applyFill="1" applyBorder="1"/>
    <xf numFmtId="0" fontId="1" fillId="6" borderId="6" xfId="0" applyFont="1" applyFill="1" applyBorder="1" applyAlignment="1">
      <alignment horizontal="left"/>
    </xf>
    <xf numFmtId="0" fontId="1" fillId="5" borderId="16" xfId="0" applyFont="1" applyFill="1" applyBorder="1" applyAlignment="1">
      <alignment horizontal="center"/>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0" xfId="0" applyFont="1" applyFill="1" applyBorder="1" applyAlignment="1">
      <alignment horizontal="center" vertical="center" wrapText="1"/>
    </xf>
    <xf numFmtId="4" fontId="4" fillId="5" borderId="14" xfId="0" applyNumberFormat="1" applyFont="1" applyFill="1" applyBorder="1" applyAlignment="1">
      <alignment horizontal="left"/>
    </xf>
    <xf numFmtId="0" fontId="3" fillId="8" borderId="10" xfId="0" applyFont="1" applyFill="1" applyBorder="1" applyAlignment="1">
      <alignment horizontal="center"/>
    </xf>
    <xf numFmtId="0" fontId="1" fillId="6" borderId="13" xfId="0" applyFont="1" applyFill="1" applyBorder="1" applyAlignment="1">
      <alignment horizontal="left" vertical="top" wrapText="1"/>
    </xf>
    <xf numFmtId="164" fontId="1" fillId="5" borderId="14" xfId="0" applyNumberFormat="1" applyFont="1" applyFill="1" applyBorder="1" applyAlignment="1">
      <alignment horizontal="center"/>
    </xf>
    <xf numFmtId="0" fontId="1" fillId="6" borderId="13" xfId="0" applyFont="1" applyFill="1" applyBorder="1" applyAlignment="1">
      <alignment horizontal="left" wrapText="1"/>
    </xf>
    <xf numFmtId="2" fontId="1" fillId="7" borderId="14" xfId="0" applyNumberFormat="1" applyFont="1" applyFill="1" applyBorder="1" applyAlignment="1">
      <alignment horizontal="center"/>
    </xf>
    <xf numFmtId="0" fontId="1" fillId="6" borderId="15" xfId="0" applyFont="1" applyFill="1" applyBorder="1"/>
    <xf numFmtId="0" fontId="1" fillId="6" borderId="12" xfId="0" applyFont="1" applyFill="1" applyBorder="1"/>
    <xf numFmtId="0" fontId="1" fillId="6" borderId="12" xfId="0" applyFont="1" applyFill="1" applyBorder="1" applyAlignment="1">
      <alignment horizontal="center"/>
    </xf>
    <xf numFmtId="0" fontId="1" fillId="6" borderId="12" xfId="0" applyFont="1" applyFill="1" applyBorder="1" applyAlignment="1">
      <alignment horizontal="left"/>
    </xf>
    <xf numFmtId="0" fontId="1" fillId="6" borderId="5" xfId="0" applyFont="1" applyFill="1" applyBorder="1" applyAlignment="1">
      <alignment horizontal="left"/>
    </xf>
    <xf numFmtId="0" fontId="1" fillId="6" borderId="15" xfId="0" applyFont="1" applyFill="1" applyBorder="1" applyAlignment="1">
      <alignment horizontal="center"/>
    </xf>
    <xf numFmtId="0" fontId="1" fillId="3" borderId="17" xfId="0" applyFont="1" applyFill="1" applyBorder="1" applyAlignment="1">
      <alignment horizontal="center"/>
    </xf>
    <xf numFmtId="0" fontId="1" fillId="5" borderId="17" xfId="0" applyFont="1" applyFill="1" applyBorder="1" applyAlignment="1">
      <alignment horizontal="center"/>
    </xf>
    <xf numFmtId="0" fontId="1" fillId="6" borderId="1" xfId="0" applyFont="1" applyFill="1" applyBorder="1" applyAlignment="1">
      <alignment horizontal="center"/>
    </xf>
    <xf numFmtId="0" fontId="1" fillId="7" borderId="17" xfId="0" applyFont="1" applyFill="1" applyBorder="1" applyAlignment="1">
      <alignment horizontal="center"/>
    </xf>
    <xf numFmtId="0" fontId="1" fillId="6" borderId="9" xfId="0" applyFont="1" applyFill="1" applyBorder="1" applyAlignment="1">
      <alignment horizontal="center"/>
    </xf>
    <xf numFmtId="0" fontId="6" fillId="6" borderId="0" xfId="0" applyFont="1" applyFill="1"/>
    <xf numFmtId="0" fontId="0" fillId="6" borderId="0" xfId="0" applyFill="1"/>
    <xf numFmtId="3" fontId="1" fillId="3" borderId="14" xfId="0" applyNumberFormat="1" applyFont="1" applyFill="1" applyBorder="1" applyAlignment="1">
      <alignment horizontal="left"/>
    </xf>
    <xf numFmtId="16" fontId="1" fillId="3" borderId="14" xfId="0" applyNumberFormat="1" applyFont="1" applyFill="1" applyBorder="1" applyAlignment="1">
      <alignment horizontal="center"/>
    </xf>
    <xf numFmtId="0" fontId="9" fillId="0" borderId="18" xfId="1" applyFont="1" applyBorder="1" applyAlignment="1">
      <alignment horizontal="justify" vertical="center" wrapText="1"/>
    </xf>
    <xf numFmtId="0" fontId="9" fillId="0" borderId="19" xfId="1" applyFont="1" applyBorder="1" applyAlignment="1">
      <alignment vertical="center" wrapText="1"/>
    </xf>
    <xf numFmtId="0" fontId="10" fillId="0" borderId="19" xfId="1" applyFont="1" applyBorder="1" applyAlignment="1">
      <alignment horizontal="left" vertical="center" wrapText="1" indent="1"/>
    </xf>
    <xf numFmtId="0" fontId="10" fillId="0" borderId="19" xfId="1" applyFont="1" applyBorder="1" applyAlignment="1">
      <alignment vertical="center" wrapText="1"/>
    </xf>
    <xf numFmtId="0" fontId="13" fillId="0" borderId="18" xfId="1" applyFont="1" applyBorder="1" applyAlignment="1">
      <alignment horizontal="justify" vertical="center" wrapText="1"/>
    </xf>
    <xf numFmtId="0" fontId="13" fillId="0" borderId="19" xfId="1" applyFont="1" applyBorder="1" applyAlignment="1">
      <alignment vertical="center" wrapText="1"/>
    </xf>
    <xf numFmtId="0" fontId="14" fillId="0" borderId="19" xfId="1" applyFont="1" applyBorder="1" applyAlignment="1">
      <alignment horizontal="left" vertical="center" wrapText="1" indent="1"/>
    </xf>
    <xf numFmtId="0" fontId="9" fillId="0" borderId="18" xfId="1" applyFont="1" applyBorder="1" applyAlignment="1">
      <alignment vertical="center" wrapText="1"/>
    </xf>
    <xf numFmtId="0" fontId="16" fillId="0" borderId="18" xfId="1" applyFont="1" applyBorder="1" applyAlignment="1">
      <alignment horizontal="justify" vertical="center" wrapText="1"/>
    </xf>
    <xf numFmtId="0" fontId="8" fillId="0" borderId="19" xfId="1" applyFont="1" applyBorder="1" applyAlignment="1">
      <alignment vertical="center" wrapText="1"/>
    </xf>
    <xf numFmtId="0" fontId="17" fillId="0" borderId="19" xfId="1" applyFont="1" applyBorder="1" applyAlignment="1">
      <alignment vertical="center" wrapText="1"/>
    </xf>
    <xf numFmtId="0" fontId="17" fillId="0" borderId="19" xfId="1" applyFont="1" applyBorder="1" applyAlignment="1">
      <alignment horizontal="left" vertical="center" wrapText="1" indent="1"/>
    </xf>
    <xf numFmtId="0" fontId="8" fillId="9" borderId="22" xfId="1" applyFont="1" applyFill="1" applyBorder="1" applyAlignment="1">
      <alignment vertical="center" wrapText="1"/>
    </xf>
    <xf numFmtId="0" fontId="10" fillId="9" borderId="23" xfId="1" applyFont="1" applyFill="1" applyBorder="1" applyAlignment="1">
      <alignment vertical="center" wrapText="1"/>
    </xf>
    <xf numFmtId="0" fontId="7" fillId="6" borderId="0" xfId="1" applyFill="1"/>
    <xf numFmtId="0" fontId="12" fillId="6" borderId="0" xfId="1" applyFont="1" applyFill="1"/>
    <xf numFmtId="0" fontId="19" fillId="3" borderId="0" xfId="1" applyFont="1" applyFill="1" applyAlignment="1">
      <alignment horizontal="center" vertical="center" wrapText="1"/>
    </xf>
    <xf numFmtId="0" fontId="20" fillId="9" borderId="21" xfId="1" applyFont="1" applyFill="1" applyBorder="1" applyAlignment="1">
      <alignment vertical="center" wrapText="1"/>
    </xf>
    <xf numFmtId="0" fontId="21" fillId="10" borderId="21" xfId="1" applyFont="1" applyFill="1" applyBorder="1" applyAlignment="1">
      <alignment vertical="center" wrapText="1"/>
    </xf>
    <xf numFmtId="0" fontId="22" fillId="10" borderId="0" xfId="1" applyFont="1" applyFill="1" applyAlignment="1">
      <alignment wrapText="1"/>
    </xf>
    <xf numFmtId="0" fontId="22" fillId="6" borderId="0" xfId="1" applyFont="1" applyFill="1"/>
    <xf numFmtId="0" fontId="26" fillId="6" borderId="0" xfId="1" applyFont="1" applyFill="1" applyAlignment="1">
      <alignment horizontal="center" vertical="center" wrapText="1"/>
    </xf>
    <xf numFmtId="0" fontId="26" fillId="6" borderId="0" xfId="1" applyFont="1" applyFill="1" applyAlignment="1">
      <alignment horizontal="center" vertical="center"/>
    </xf>
    <xf numFmtId="0" fontId="8" fillId="9" borderId="22" xfId="1" applyFont="1" applyFill="1" applyBorder="1" applyAlignment="1">
      <alignment vertical="center" wrapText="1"/>
    </xf>
    <xf numFmtId="0" fontId="8" fillId="9" borderId="21" xfId="1" applyFont="1" applyFill="1" applyBorder="1" applyAlignment="1">
      <alignment vertical="center" wrapText="1"/>
    </xf>
    <xf numFmtId="0" fontId="1" fillId="6" borderId="11" xfId="0" applyFont="1" applyFill="1" applyBorder="1" applyAlignment="1">
      <alignment horizontal="center" vertical="center" wrapText="1"/>
    </xf>
    <xf numFmtId="0" fontId="22" fillId="6" borderId="0" xfId="1" applyFont="1" applyFill="1" applyAlignment="1">
      <alignment horizontal="center"/>
    </xf>
    <xf numFmtId="0" fontId="25" fillId="9" borderId="21" xfId="1" applyFont="1" applyFill="1" applyBorder="1" applyAlignment="1">
      <alignment horizontal="center" vertical="center" wrapText="1"/>
    </xf>
    <xf numFmtId="0" fontId="28" fillId="10" borderId="21" xfId="1" applyFont="1" applyFill="1" applyBorder="1" applyAlignment="1">
      <alignment horizontal="center" vertical="center" wrapText="1"/>
    </xf>
    <xf numFmtId="0" fontId="1" fillId="6" borderId="11" xfId="0" applyFont="1" applyFill="1" applyBorder="1" applyAlignment="1">
      <alignment horizontal="center"/>
    </xf>
    <xf numFmtId="0" fontId="3" fillId="8" borderId="13" xfId="0" applyFont="1" applyFill="1" applyBorder="1" applyAlignment="1">
      <alignment horizontal="center"/>
    </xf>
    <xf numFmtId="0" fontId="1" fillId="6" borderId="24" xfId="0" applyFont="1" applyFill="1" applyBorder="1" applyAlignment="1">
      <alignment horizontal="center"/>
    </xf>
    <xf numFmtId="0" fontId="22" fillId="10" borderId="0" xfId="1" applyFont="1" applyFill="1" applyAlignment="1">
      <alignment horizontal="center" wrapText="1"/>
    </xf>
    <xf numFmtId="0" fontId="27" fillId="3" borderId="0" xfId="1" applyFont="1" applyFill="1" applyAlignment="1">
      <alignment horizontal="center" vertical="center" wrapText="1"/>
    </xf>
    <xf numFmtId="0" fontId="8" fillId="9" borderId="19" xfId="1" applyFont="1" applyFill="1" applyBorder="1" applyAlignment="1">
      <alignment vertical="center" wrapText="1"/>
    </xf>
    <xf numFmtId="0" fontId="28" fillId="9" borderId="25" xfId="1" applyFont="1" applyFill="1" applyBorder="1" applyAlignment="1">
      <alignment horizontal="center" vertical="center" wrapText="1"/>
    </xf>
    <xf numFmtId="0" fontId="21" fillId="9" borderId="25" xfId="1" applyFont="1" applyFill="1" applyBorder="1" applyAlignment="1">
      <alignment horizontal="right" vertical="center" wrapText="1"/>
    </xf>
    <xf numFmtId="0" fontId="36" fillId="11" borderId="26" xfId="1" applyFont="1" applyFill="1" applyBorder="1" applyAlignment="1">
      <alignment vertical="center"/>
    </xf>
    <xf numFmtId="0" fontId="36" fillId="11" borderId="27" xfId="1" applyFont="1" applyFill="1" applyBorder="1" applyAlignment="1">
      <alignment horizontal="center"/>
    </xf>
    <xf numFmtId="0" fontId="37" fillId="10" borderId="0" xfId="1" applyFont="1" applyFill="1" applyAlignment="1">
      <alignment horizontal="center" wrapText="1"/>
    </xf>
    <xf numFmtId="0" fontId="29" fillId="10" borderId="0" xfId="1" applyFont="1" applyFill="1" applyAlignment="1">
      <alignment wrapText="1"/>
    </xf>
    <xf numFmtId="0" fontId="41" fillId="0" borderId="19" xfId="1" applyFont="1" applyBorder="1" applyAlignment="1">
      <alignment vertical="center" wrapText="1"/>
    </xf>
    <xf numFmtId="0" fontId="21" fillId="10" borderId="21" xfId="1" applyFont="1" applyFill="1" applyBorder="1" applyAlignment="1">
      <alignment horizontal="center" vertical="center" wrapText="1"/>
    </xf>
    <xf numFmtId="0" fontId="20" fillId="9" borderId="29" xfId="1" applyFont="1" applyFill="1" applyBorder="1" applyAlignment="1">
      <alignment vertical="center" wrapText="1"/>
    </xf>
    <xf numFmtId="0" fontId="21" fillId="9" borderId="0" xfId="1" applyFont="1" applyFill="1" applyBorder="1" applyAlignment="1">
      <alignment horizontal="right" vertical="center" wrapText="1"/>
    </xf>
    <xf numFmtId="0" fontId="21" fillId="9" borderId="34" xfId="1" applyFont="1" applyFill="1" applyBorder="1" applyAlignment="1">
      <alignment horizontal="right" vertical="center" wrapText="1"/>
    </xf>
    <xf numFmtId="0" fontId="26" fillId="6" borderId="10" xfId="1" applyFont="1" applyFill="1" applyBorder="1" applyAlignment="1">
      <alignment horizontal="center" vertical="center"/>
    </xf>
    <xf numFmtId="0" fontId="44" fillId="12" borderId="0" xfId="1" applyFont="1" applyFill="1" applyAlignment="1">
      <alignment vertical="center"/>
    </xf>
    <xf numFmtId="10" fontId="23" fillId="14" borderId="10" xfId="1" applyNumberFormat="1" applyFont="1" applyFill="1" applyBorder="1" applyAlignment="1">
      <alignment horizontal="center" wrapText="1"/>
    </xf>
    <xf numFmtId="10" fontId="23" fillId="14" borderId="10" xfId="2" applyNumberFormat="1" applyFont="1" applyFill="1" applyBorder="1" applyAlignment="1">
      <alignment horizontal="center" wrapText="1"/>
    </xf>
    <xf numFmtId="2" fontId="36" fillId="11" borderId="37" xfId="1" applyNumberFormat="1" applyFont="1" applyFill="1" applyBorder="1" applyAlignment="1">
      <alignment horizontal="center"/>
    </xf>
    <xf numFmtId="10" fontId="23" fillId="2" borderId="36" xfId="2" applyNumberFormat="1" applyFont="1" applyFill="1" applyBorder="1" applyAlignment="1">
      <alignment horizontal="center" vertical="center"/>
    </xf>
    <xf numFmtId="0" fontId="20" fillId="13" borderId="35" xfId="1" applyFont="1" applyFill="1" applyBorder="1" applyAlignment="1">
      <alignment vertical="center" wrapText="1"/>
    </xf>
    <xf numFmtId="0" fontId="44" fillId="4" borderId="11" xfId="1" applyFont="1" applyFill="1" applyBorder="1" applyAlignment="1">
      <alignment vertical="center"/>
    </xf>
    <xf numFmtId="0" fontId="19" fillId="13" borderId="12" xfId="1" applyFont="1" applyFill="1" applyBorder="1" applyAlignment="1">
      <alignment horizontal="center" vertical="center" wrapText="1"/>
    </xf>
    <xf numFmtId="0" fontId="29" fillId="10" borderId="0" xfId="1" applyFont="1" applyFill="1" applyAlignment="1">
      <alignment horizontal="center" wrapText="1"/>
    </xf>
    <xf numFmtId="2" fontId="36" fillId="11" borderId="27" xfId="1" applyNumberFormat="1" applyFont="1" applyFill="1" applyBorder="1" applyAlignment="1">
      <alignment horizontal="center"/>
    </xf>
    <xf numFmtId="0" fontId="44" fillId="15" borderId="0" xfId="1" applyFont="1" applyFill="1" applyAlignment="1">
      <alignment vertical="center"/>
    </xf>
    <xf numFmtId="0" fontId="50" fillId="6" borderId="0" xfId="1" applyFont="1" applyFill="1"/>
    <xf numFmtId="0" fontId="51" fillId="6" borderId="0" xfId="1" applyFont="1" applyFill="1"/>
    <xf numFmtId="0" fontId="1" fillId="6" borderId="0" xfId="1" applyFont="1" applyFill="1" applyAlignment="1">
      <alignment horizontal="center"/>
    </xf>
    <xf numFmtId="10" fontId="1" fillId="6" borderId="0" xfId="1" applyNumberFormat="1" applyFont="1" applyFill="1" applyAlignment="1">
      <alignment horizontal="center"/>
    </xf>
    <xf numFmtId="2" fontId="1" fillId="6" borderId="3" xfId="0" applyNumberFormat="1" applyFont="1" applyFill="1" applyBorder="1" applyAlignment="1">
      <alignment horizontal="center"/>
    </xf>
    <xf numFmtId="10" fontId="1" fillId="6" borderId="1" xfId="2" applyNumberFormat="1" applyFont="1" applyFill="1" applyBorder="1" applyAlignment="1">
      <alignment horizontal="center"/>
    </xf>
    <xf numFmtId="10" fontId="0" fillId="6" borderId="0" xfId="2" applyNumberFormat="1" applyFont="1" applyFill="1"/>
    <xf numFmtId="0" fontId="1" fillId="6" borderId="5" xfId="0" applyFont="1" applyFill="1" applyBorder="1" applyAlignment="1">
      <alignment horizontal="center"/>
    </xf>
    <xf numFmtId="0" fontId="5" fillId="6" borderId="10" xfId="0" applyFont="1" applyFill="1" applyBorder="1"/>
    <xf numFmtId="10" fontId="1" fillId="6" borderId="0" xfId="2" applyNumberFormat="1" applyFont="1" applyFill="1" applyBorder="1" applyAlignment="1">
      <alignment horizontal="center"/>
    </xf>
    <xf numFmtId="10" fontId="1" fillId="6" borderId="6" xfId="2" applyNumberFormat="1" applyFont="1" applyFill="1" applyBorder="1" applyAlignment="1">
      <alignment horizontal="center"/>
    </xf>
    <xf numFmtId="0" fontId="1" fillId="6" borderId="10" xfId="0" applyFont="1" applyFill="1" applyBorder="1" applyAlignment="1">
      <alignment horizontal="left" wrapText="1" indent="1"/>
    </xf>
    <xf numFmtId="0" fontId="1" fillId="6" borderId="10" xfId="0" applyFont="1" applyFill="1" applyBorder="1" applyAlignment="1">
      <alignment horizontal="left" indent="1"/>
    </xf>
    <xf numFmtId="2" fontId="1" fillId="6" borderId="4" xfId="0" applyNumberFormat="1" applyFont="1" applyFill="1" applyBorder="1" applyAlignment="1">
      <alignment horizontal="center"/>
    </xf>
    <xf numFmtId="10" fontId="1" fillId="6" borderId="5" xfId="2" applyNumberFormat="1" applyFont="1" applyFill="1" applyBorder="1" applyAlignment="1">
      <alignment horizontal="center"/>
    </xf>
    <xf numFmtId="0" fontId="1" fillId="16" borderId="10" xfId="0" applyFont="1" applyFill="1" applyBorder="1" applyAlignment="1">
      <alignment horizontal="center"/>
    </xf>
    <xf numFmtId="10" fontId="1" fillId="6" borderId="0" xfId="2" applyNumberFormat="1" applyFont="1" applyFill="1" applyBorder="1" applyAlignment="1">
      <alignment horizontal="left"/>
    </xf>
    <xf numFmtId="0" fontId="1" fillId="0" borderId="10" xfId="0" applyFont="1" applyFill="1" applyBorder="1"/>
    <xf numFmtId="0" fontId="1" fillId="6" borderId="12" xfId="0" applyFont="1" applyFill="1" applyBorder="1" applyAlignment="1"/>
    <xf numFmtId="0" fontId="1" fillId="6" borderId="38" xfId="0" applyFont="1" applyFill="1" applyBorder="1" applyAlignment="1">
      <alignment horizontal="center"/>
    </xf>
    <xf numFmtId="0" fontId="21" fillId="10" borderId="0" xfId="1" applyFont="1" applyFill="1" applyBorder="1" applyAlignment="1">
      <alignment vertical="center" wrapText="1"/>
    </xf>
    <xf numFmtId="0" fontId="2" fillId="6"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36" fillId="3" borderId="0" xfId="1" applyFont="1" applyFill="1" applyAlignment="1">
      <alignment horizontal="center" vertical="center"/>
    </xf>
    <xf numFmtId="0" fontId="36" fillId="3" borderId="28" xfId="1" applyFont="1" applyFill="1" applyBorder="1" applyAlignment="1">
      <alignment horizontal="center" vertical="center"/>
    </xf>
    <xf numFmtId="0" fontId="44" fillId="4" borderId="7" xfId="1" applyFont="1" applyFill="1" applyBorder="1" applyAlignment="1">
      <alignment horizontal="left"/>
    </xf>
    <xf numFmtId="0" fontId="44" fillId="4" borderId="2" xfId="1" applyFont="1" applyFill="1" applyBorder="1" applyAlignment="1">
      <alignment horizontal="left"/>
    </xf>
    <xf numFmtId="0" fontId="44" fillId="4" borderId="8" xfId="1" applyFont="1" applyFill="1" applyBorder="1" applyAlignment="1">
      <alignment horizontal="left"/>
    </xf>
    <xf numFmtId="0" fontId="30" fillId="0" borderId="20" xfId="1" applyFont="1" applyBorder="1" applyAlignment="1">
      <alignment vertical="center" wrapText="1"/>
    </xf>
    <xf numFmtId="0" fontId="30" fillId="0" borderId="19" xfId="1" applyFont="1" applyBorder="1" applyAlignment="1">
      <alignment vertical="center" wrapText="1"/>
    </xf>
    <xf numFmtId="0" fontId="30" fillId="0" borderId="18" xfId="1" applyFont="1" applyBorder="1" applyAlignment="1">
      <alignment vertical="center" wrapText="1"/>
    </xf>
    <xf numFmtId="0" fontId="9" fillId="0" borderId="20" xfId="0" applyFont="1" applyBorder="1" applyAlignment="1">
      <alignment vertical="center" wrapText="1"/>
    </xf>
    <xf numFmtId="0" fontId="9" fillId="0" borderId="19" xfId="0" applyFont="1" applyBorder="1" applyAlignment="1">
      <alignment vertical="center" wrapText="1"/>
    </xf>
    <xf numFmtId="0" fontId="9" fillId="0" borderId="18" xfId="0" applyFont="1" applyBorder="1" applyAlignment="1">
      <alignment vertical="center" wrapText="1"/>
    </xf>
    <xf numFmtId="0" fontId="30" fillId="0" borderId="20" xfId="1" applyFont="1" applyBorder="1" applyAlignment="1">
      <alignment horizontal="left" vertical="center" wrapText="1" indent="1"/>
    </xf>
    <xf numFmtId="0" fontId="30" fillId="0" borderId="19" xfId="1" applyFont="1" applyBorder="1" applyAlignment="1">
      <alignment horizontal="left" vertical="center" wrapText="1" indent="1"/>
    </xf>
    <xf numFmtId="0" fontId="30" fillId="0" borderId="18" xfId="1" applyFont="1" applyBorder="1" applyAlignment="1">
      <alignment horizontal="left" vertical="center" wrapText="1" indent="1"/>
    </xf>
    <xf numFmtId="0" fontId="1" fillId="0" borderId="20" xfId="1" applyFont="1" applyBorder="1" applyAlignment="1">
      <alignment horizontal="left" vertical="center" wrapText="1" indent="1"/>
    </xf>
    <xf numFmtId="0" fontId="1" fillId="0" borderId="19" xfId="1" applyFont="1" applyBorder="1" applyAlignment="1">
      <alignment horizontal="left" vertical="center" wrapText="1" indent="1"/>
    </xf>
    <xf numFmtId="0" fontId="1" fillId="0" borderId="18" xfId="1" applyFont="1" applyBorder="1" applyAlignment="1">
      <alignment horizontal="left" vertical="center" wrapText="1" indent="1"/>
    </xf>
    <xf numFmtId="0" fontId="38" fillId="0" borderId="20" xfId="1" applyFont="1" applyBorder="1" applyAlignment="1">
      <alignment vertical="center" wrapText="1"/>
    </xf>
    <xf numFmtId="0" fontId="38" fillId="0" borderId="19" xfId="1" applyFont="1" applyBorder="1" applyAlignment="1">
      <alignment vertical="center" wrapText="1"/>
    </xf>
    <xf numFmtId="0" fontId="38" fillId="0" borderId="18" xfId="1" applyFont="1" applyBorder="1" applyAlignment="1">
      <alignment vertical="center" wrapText="1"/>
    </xf>
    <xf numFmtId="0" fontId="39" fillId="0" borderId="20" xfId="1" applyFont="1" applyBorder="1" applyAlignment="1">
      <alignment horizontal="left" vertical="center" wrapText="1" indent="1"/>
    </xf>
    <xf numFmtId="0" fontId="39" fillId="0" borderId="19" xfId="1" applyFont="1" applyBorder="1" applyAlignment="1">
      <alignment horizontal="left" vertical="center" wrapText="1" indent="1"/>
    </xf>
    <xf numFmtId="0" fontId="39" fillId="0" borderId="18" xfId="1" applyFont="1" applyBorder="1" applyAlignment="1">
      <alignment horizontal="left" vertical="center" wrapText="1" indent="1"/>
    </xf>
    <xf numFmtId="0" fontId="32" fillId="0" borderId="20" xfId="1" applyFont="1" applyBorder="1" applyAlignment="1">
      <alignment horizontal="center" vertical="center" wrapText="1"/>
    </xf>
    <xf numFmtId="0" fontId="32" fillId="0" borderId="19" xfId="1" applyFont="1" applyBorder="1" applyAlignment="1">
      <alignment horizontal="center" vertical="center" wrapText="1"/>
    </xf>
    <xf numFmtId="0" fontId="32" fillId="0" borderId="18" xfId="1" applyFont="1" applyBorder="1" applyAlignment="1">
      <alignment horizontal="center" vertical="center" wrapText="1"/>
    </xf>
    <xf numFmtId="0" fontId="9" fillId="0" borderId="20"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18" xfId="0" applyFont="1" applyBorder="1" applyAlignment="1">
      <alignment horizontal="left" vertical="center" wrapText="1" indent="1"/>
    </xf>
    <xf numFmtId="0" fontId="35" fillId="0" borderId="20" xfId="0" applyFont="1" applyBorder="1" applyAlignment="1">
      <alignment horizontal="left" vertical="center" wrapText="1" indent="1"/>
    </xf>
    <xf numFmtId="0" fontId="35" fillId="0" borderId="19" xfId="0" applyFont="1" applyBorder="1" applyAlignment="1">
      <alignment horizontal="left" vertical="center" wrapText="1" indent="1"/>
    </xf>
    <xf numFmtId="0" fontId="35" fillId="0" borderId="18" xfId="0" applyFont="1" applyBorder="1" applyAlignment="1">
      <alignment horizontal="left" vertical="center" wrapText="1" indent="1"/>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18" xfId="0" applyFont="1" applyBorder="1" applyAlignment="1">
      <alignment vertical="center" wrapText="1"/>
    </xf>
    <xf numFmtId="0" fontId="24" fillId="0" borderId="20"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18"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18" xfId="1" applyFont="1" applyBorder="1" applyAlignment="1">
      <alignment horizontal="center" vertical="center" wrapText="1"/>
    </xf>
    <xf numFmtId="0" fontId="30" fillId="0" borderId="20" xfId="1" applyFont="1" applyBorder="1" applyAlignment="1">
      <alignment horizontal="center" vertical="center" wrapText="1"/>
    </xf>
    <xf numFmtId="0" fontId="30" fillId="0" borderId="19" xfId="1" applyFont="1" applyBorder="1" applyAlignment="1">
      <alignment horizontal="center" vertical="center" wrapText="1"/>
    </xf>
    <xf numFmtId="0" fontId="30" fillId="0" borderId="18" xfId="1" applyFont="1" applyBorder="1" applyAlignment="1">
      <alignment horizontal="center" vertical="center" wrapText="1"/>
    </xf>
    <xf numFmtId="0" fontId="24" fillId="0" borderId="20" xfId="1" applyFont="1" applyBorder="1" applyAlignment="1">
      <alignment vertical="center" wrapText="1"/>
    </xf>
    <xf numFmtId="0" fontId="24" fillId="0" borderId="19" xfId="1" applyFont="1" applyBorder="1" applyAlignment="1">
      <alignment vertical="center" wrapText="1"/>
    </xf>
    <xf numFmtId="0" fontId="24" fillId="0" borderId="18" xfId="1" applyFont="1" applyBorder="1" applyAlignment="1">
      <alignment vertical="center" wrapText="1"/>
    </xf>
    <xf numFmtId="0" fontId="33" fillId="0" borderId="20" xfId="1" applyFont="1" applyBorder="1" applyAlignment="1">
      <alignment horizontal="center" vertical="center" wrapText="1"/>
    </xf>
    <xf numFmtId="0" fontId="33" fillId="0" borderId="19" xfId="1" applyFont="1" applyBorder="1" applyAlignment="1">
      <alignment horizontal="center" vertical="center" wrapText="1"/>
    </xf>
    <xf numFmtId="0" fontId="33" fillId="0" borderId="18" xfId="1"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7" fillId="0" borderId="20" xfId="1" applyFont="1" applyBorder="1" applyAlignment="1">
      <alignment horizontal="center" vertical="center" wrapText="1"/>
    </xf>
    <xf numFmtId="0" fontId="27" fillId="0" borderId="19" xfId="1" applyFont="1" applyBorder="1" applyAlignment="1">
      <alignment horizontal="center" vertical="center" wrapText="1"/>
    </xf>
    <xf numFmtId="0" fontId="27" fillId="0" borderId="18" xfId="1" applyFont="1" applyBorder="1" applyAlignment="1">
      <alignment horizontal="center" vertical="center" wrapText="1"/>
    </xf>
    <xf numFmtId="0" fontId="31" fillId="0" borderId="20" xfId="1" applyFont="1" applyBorder="1" applyAlignment="1">
      <alignment horizontal="center" vertical="center" wrapText="1"/>
    </xf>
    <xf numFmtId="0" fontId="31" fillId="0" borderId="19" xfId="1" applyFont="1" applyBorder="1" applyAlignment="1">
      <alignment horizontal="center" vertical="center" wrapText="1"/>
    </xf>
    <xf numFmtId="0" fontId="31" fillId="0" borderId="18" xfId="1" applyFont="1" applyBorder="1" applyAlignment="1">
      <alignment horizontal="center" vertical="center" wrapText="1"/>
    </xf>
    <xf numFmtId="0" fontId="34" fillId="0" borderId="2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8" xfId="0" applyFont="1" applyBorder="1" applyAlignment="1">
      <alignment horizontal="center" vertical="center" wrapText="1"/>
    </xf>
    <xf numFmtId="0" fontId="23" fillId="0" borderId="30" xfId="1" applyFont="1" applyBorder="1" applyAlignment="1">
      <alignment horizontal="center" vertical="center" wrapText="1"/>
    </xf>
    <xf numFmtId="0" fontId="23" fillId="0" borderId="31" xfId="1" applyFont="1" applyBorder="1" applyAlignment="1">
      <alignment horizontal="center" vertical="center" wrapText="1"/>
    </xf>
    <xf numFmtId="0" fontId="23" fillId="0" borderId="32" xfId="1" applyFont="1" applyBorder="1" applyAlignment="1">
      <alignment horizontal="center" vertical="center" wrapText="1"/>
    </xf>
    <xf numFmtId="10" fontId="23" fillId="13" borderId="33" xfId="2" applyNumberFormat="1" applyFont="1" applyFill="1" applyBorder="1" applyAlignment="1">
      <alignment horizontal="center" vertical="center" wrapText="1"/>
    </xf>
    <xf numFmtId="10" fontId="23" fillId="13" borderId="34" xfId="2" applyNumberFormat="1" applyFont="1" applyFill="1" applyBorder="1" applyAlignment="1">
      <alignment horizontal="center" vertical="center" wrapText="1"/>
    </xf>
    <xf numFmtId="10" fontId="23" fillId="13" borderId="35" xfId="2" applyNumberFormat="1" applyFont="1" applyFill="1" applyBorder="1" applyAlignment="1">
      <alignment horizontal="center" vertical="center" wrapText="1"/>
    </xf>
    <xf numFmtId="0" fontId="24" fillId="0" borderId="30" xfId="1" applyFont="1" applyBorder="1" applyAlignment="1">
      <alignment horizontal="center" vertical="center" wrapText="1"/>
    </xf>
    <xf numFmtId="0" fontId="24" fillId="0" borderId="31" xfId="1" applyFont="1" applyBorder="1" applyAlignment="1">
      <alignment horizontal="center" vertical="center" wrapText="1"/>
    </xf>
    <xf numFmtId="0" fontId="24" fillId="0" borderId="32" xfId="1"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20"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18" xfId="1" applyFont="1" applyBorder="1" applyAlignment="1">
      <alignment horizontal="center" vertical="center" wrapText="1"/>
    </xf>
    <xf numFmtId="0" fontId="39" fillId="0" borderId="20" xfId="1" applyFont="1" applyBorder="1" applyAlignment="1">
      <alignment horizontal="center" vertical="center" wrapText="1"/>
    </xf>
    <xf numFmtId="0" fontId="39" fillId="0" borderId="19" xfId="1" applyFont="1" applyBorder="1" applyAlignment="1">
      <alignment horizontal="center" vertical="center" wrapText="1"/>
    </xf>
    <xf numFmtId="0" fontId="39" fillId="0" borderId="18" xfId="1" applyFont="1" applyBorder="1" applyAlignment="1">
      <alignment horizontal="center" vertical="center" wrapText="1"/>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8" xfId="0" applyFont="1" applyBorder="1" applyAlignment="1">
      <alignment horizontal="center" vertical="center" wrapText="1"/>
    </xf>
    <xf numFmtId="0" fontId="38" fillId="0" borderId="20" xfId="1" applyFont="1" applyBorder="1" applyAlignment="1">
      <alignment horizontal="center" vertical="center" wrapText="1"/>
    </xf>
    <xf numFmtId="0" fontId="38" fillId="0" borderId="19" xfId="1" applyFont="1" applyBorder="1" applyAlignment="1">
      <alignment horizontal="center" vertical="center" wrapText="1"/>
    </xf>
    <xf numFmtId="0" fontId="38" fillId="0" borderId="18" xfId="1" applyFont="1" applyBorder="1" applyAlignment="1">
      <alignment horizontal="center" vertical="center" wrapText="1"/>
    </xf>
    <xf numFmtId="0" fontId="24" fillId="0" borderId="20" xfId="1" quotePrefix="1" applyFont="1" applyBorder="1" applyAlignment="1">
      <alignment horizontal="center" vertical="center" wrapText="1"/>
    </xf>
    <xf numFmtId="10" fontId="23" fillId="13" borderId="20" xfId="2" applyNumberFormat="1" applyFont="1" applyFill="1" applyBorder="1" applyAlignment="1">
      <alignment horizontal="center" vertical="center" wrapText="1"/>
    </xf>
    <xf numFmtId="10" fontId="23" fillId="13" borderId="19" xfId="2" applyNumberFormat="1" applyFont="1" applyFill="1" applyBorder="1" applyAlignment="1">
      <alignment horizontal="center" vertical="center" wrapText="1"/>
    </xf>
    <xf numFmtId="10" fontId="23" fillId="13" borderId="18" xfId="2" applyNumberFormat="1"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9" xfId="0" applyFont="1" applyFill="1" applyBorder="1" applyAlignment="1">
      <alignment horizontal="center" vertical="center"/>
    </xf>
    <xf numFmtId="0" fontId="2" fillId="6" borderId="15" xfId="0" applyFont="1" applyFill="1" applyBorder="1" applyAlignment="1">
      <alignment horizontal="center" vertical="center"/>
    </xf>
  </cellXfs>
  <cellStyles count="3">
    <cellStyle name="Normal" xfId="0" builtinId="0"/>
    <cellStyle name="Normal 2" xfId="1" xr:uid="{481B298E-E56E-E648-9B7E-66B46322CFF6}"/>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latin typeface="Times New Roman" panose="02020603050405020304" pitchFamily="18" charset="0"/>
                <a:cs typeface="Times New Roman" panose="02020603050405020304" pitchFamily="18" charset="0"/>
              </a:rPr>
              <a:t>Mortality outcome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1199938480266663"/>
          <c:y val="0.11469028854953041"/>
          <c:w val="0.87141249177124591"/>
          <c:h val="0.57739431141344277"/>
        </c:manualLayout>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MasterScale!$HG$5:$HG$11</c:f>
              <c:strCache>
                <c:ptCount val="7"/>
                <c:pt idx="0">
                  <c:v>Equal recruitment      </c:v>
                </c:pt>
                <c:pt idx="1">
                  <c:v>Equal retention     </c:v>
                </c:pt>
                <c:pt idx="2">
                  <c:v>Equal ascertainment      </c:v>
                </c:pt>
                <c:pt idx="3">
                  <c:v>Equal implementation    </c:v>
                </c:pt>
                <c:pt idx="4">
                  <c:v>Equal prognosis</c:v>
                </c:pt>
                <c:pt idx="5">
                  <c:v>Sufficient analysis      </c:v>
                </c:pt>
                <c:pt idx="6">
                  <c:v>Temporal precedence</c:v>
                </c:pt>
              </c:strCache>
            </c:strRef>
          </c:cat>
          <c:val>
            <c:numRef>
              <c:f>MasterScale!$HH$5:$HH$11</c:f>
              <c:numCache>
                <c:formatCode>0.00%</c:formatCode>
                <c:ptCount val="7"/>
                <c:pt idx="0">
                  <c:v>0.60436893203883491</c:v>
                </c:pt>
                <c:pt idx="1">
                  <c:v>0.96885589187131171</c:v>
                </c:pt>
                <c:pt idx="2">
                  <c:v>0.5714285714285714</c:v>
                </c:pt>
                <c:pt idx="3">
                  <c:v>0.64563106796116509</c:v>
                </c:pt>
                <c:pt idx="4">
                  <c:v>0.3754838504981281</c:v>
                </c:pt>
                <c:pt idx="5">
                  <c:v>0.89865103015155878</c:v>
                </c:pt>
                <c:pt idx="6">
                  <c:v>1</c:v>
                </c:pt>
              </c:numCache>
            </c:numRef>
          </c:val>
          <c:extLst>
            <c:ext xmlns:c16="http://schemas.microsoft.com/office/drawing/2014/chart" uri="{C3380CC4-5D6E-409C-BE32-E72D297353CC}">
              <c16:uniqueId val="{00000000-8DF4-9D4D-A773-92AC57609F80}"/>
            </c:ext>
          </c:extLst>
        </c:ser>
        <c:dLbls>
          <c:showLegendKey val="0"/>
          <c:showVal val="0"/>
          <c:showCatName val="0"/>
          <c:showSerName val="0"/>
          <c:showPercent val="0"/>
          <c:showBubbleSize val="0"/>
        </c:dLbls>
        <c:gapWidth val="100"/>
        <c:overlap val="-24"/>
        <c:axId val="1868515455"/>
        <c:axId val="1868334191"/>
      </c:barChart>
      <c:catAx>
        <c:axId val="186851545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crossAx val="1868334191"/>
        <c:crosses val="autoZero"/>
        <c:auto val="1"/>
        <c:lblAlgn val="ctr"/>
        <c:lblOffset val="100"/>
        <c:noMultiLvlLbl val="0"/>
      </c:catAx>
      <c:valAx>
        <c:axId val="1868334191"/>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crossAx val="1868515455"/>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latin typeface="Times New Roman" panose="02020603050405020304" pitchFamily="18" charset="0"/>
                <a:cs typeface="Times New Roman" panose="02020603050405020304" pitchFamily="18" charset="0"/>
              </a:rPr>
              <a:t>ICU admission outcome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MasterScale!$HG$5:$HG$11</c:f>
              <c:strCache>
                <c:ptCount val="7"/>
                <c:pt idx="0">
                  <c:v>Equal recruitment      </c:v>
                </c:pt>
                <c:pt idx="1">
                  <c:v>Equal retention     </c:v>
                </c:pt>
                <c:pt idx="2">
                  <c:v>Equal ascertainment      </c:v>
                </c:pt>
                <c:pt idx="3">
                  <c:v>Equal implementation    </c:v>
                </c:pt>
                <c:pt idx="4">
                  <c:v>Equal prognosis</c:v>
                </c:pt>
                <c:pt idx="5">
                  <c:v>Sufficient analysis      </c:v>
                </c:pt>
                <c:pt idx="6">
                  <c:v>Temporal precedence</c:v>
                </c:pt>
              </c:strCache>
            </c:strRef>
          </c:cat>
          <c:val>
            <c:numRef>
              <c:f>MasterScale!$HI$5:$HI$11</c:f>
              <c:numCache>
                <c:formatCode>0.00%</c:formatCode>
                <c:ptCount val="7"/>
                <c:pt idx="0">
                  <c:v>0.589622641509434</c:v>
                </c:pt>
                <c:pt idx="1">
                  <c:v>0.97358490566037736</c:v>
                </c:pt>
                <c:pt idx="2">
                  <c:v>0.57412398921832886</c:v>
                </c:pt>
                <c:pt idx="3">
                  <c:v>0.66352201257861632</c:v>
                </c:pt>
                <c:pt idx="4">
                  <c:v>0.110062893081761</c:v>
                </c:pt>
                <c:pt idx="5">
                  <c:v>0.92343976777939041</c:v>
                </c:pt>
                <c:pt idx="6">
                  <c:v>1</c:v>
                </c:pt>
              </c:numCache>
            </c:numRef>
          </c:val>
          <c:extLst>
            <c:ext xmlns:c16="http://schemas.microsoft.com/office/drawing/2014/chart" uri="{C3380CC4-5D6E-409C-BE32-E72D297353CC}">
              <c16:uniqueId val="{00000000-963E-C746-9B92-F73310FD1250}"/>
            </c:ext>
          </c:extLst>
        </c:ser>
        <c:dLbls>
          <c:showLegendKey val="0"/>
          <c:showVal val="0"/>
          <c:showCatName val="0"/>
          <c:showSerName val="0"/>
          <c:showPercent val="0"/>
          <c:showBubbleSize val="0"/>
        </c:dLbls>
        <c:gapWidth val="100"/>
        <c:overlap val="-24"/>
        <c:axId val="1868515455"/>
        <c:axId val="1868334191"/>
      </c:barChart>
      <c:catAx>
        <c:axId val="186851545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crossAx val="1868334191"/>
        <c:crosses val="autoZero"/>
        <c:auto val="1"/>
        <c:lblAlgn val="ctr"/>
        <c:lblOffset val="100"/>
        <c:noMultiLvlLbl val="0"/>
      </c:catAx>
      <c:valAx>
        <c:axId val="1868334191"/>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crossAx val="1868515455"/>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latin typeface="Times New Roman" panose="02020603050405020304" pitchFamily="18" charset="0"/>
                <a:cs typeface="Times New Roman" panose="02020603050405020304" pitchFamily="18" charset="0"/>
              </a:rPr>
              <a:t>LOS outcome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MasterScale!$HG$5:$HG$11</c:f>
              <c:strCache>
                <c:ptCount val="7"/>
                <c:pt idx="0">
                  <c:v>Equal recruitment      </c:v>
                </c:pt>
                <c:pt idx="1">
                  <c:v>Equal retention     </c:v>
                </c:pt>
                <c:pt idx="2">
                  <c:v>Equal ascertainment      </c:v>
                </c:pt>
                <c:pt idx="3">
                  <c:v>Equal implementation    </c:v>
                </c:pt>
                <c:pt idx="4">
                  <c:v>Equal prognosis</c:v>
                </c:pt>
                <c:pt idx="5">
                  <c:v>Sufficient analysis      </c:v>
                </c:pt>
                <c:pt idx="6">
                  <c:v>Temporal precedence</c:v>
                </c:pt>
              </c:strCache>
            </c:strRef>
          </c:cat>
          <c:val>
            <c:numRef>
              <c:f>MasterScale!$HJ$5:$HJ$11</c:f>
              <c:numCache>
                <c:formatCode>0.00%</c:formatCode>
                <c:ptCount val="7"/>
                <c:pt idx="0">
                  <c:v>0.60365853658536583</c:v>
                </c:pt>
                <c:pt idx="1">
                  <c:v>0.96585365853658534</c:v>
                </c:pt>
                <c:pt idx="2">
                  <c:v>0.5714285714285714</c:v>
                </c:pt>
                <c:pt idx="3">
                  <c:v>0.66260162601626016</c:v>
                </c:pt>
                <c:pt idx="4">
                  <c:v>0.1261178861788618</c:v>
                </c:pt>
                <c:pt idx="5">
                  <c:v>0.92662601626016261</c:v>
                </c:pt>
                <c:pt idx="6">
                  <c:v>1</c:v>
                </c:pt>
              </c:numCache>
            </c:numRef>
          </c:val>
          <c:extLst>
            <c:ext xmlns:c16="http://schemas.microsoft.com/office/drawing/2014/chart" uri="{C3380CC4-5D6E-409C-BE32-E72D297353CC}">
              <c16:uniqueId val="{00000000-89B7-DC43-A45F-4B547C4EE5AF}"/>
            </c:ext>
          </c:extLst>
        </c:ser>
        <c:dLbls>
          <c:showLegendKey val="0"/>
          <c:showVal val="0"/>
          <c:showCatName val="0"/>
          <c:showSerName val="0"/>
          <c:showPercent val="0"/>
          <c:showBubbleSize val="0"/>
        </c:dLbls>
        <c:gapWidth val="100"/>
        <c:overlap val="-24"/>
        <c:axId val="1868515455"/>
        <c:axId val="1868334191"/>
      </c:barChart>
      <c:catAx>
        <c:axId val="186851545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crossAx val="1868334191"/>
        <c:crosses val="autoZero"/>
        <c:auto val="1"/>
        <c:lblAlgn val="ctr"/>
        <c:lblOffset val="100"/>
        <c:noMultiLvlLbl val="0"/>
      </c:catAx>
      <c:valAx>
        <c:axId val="1868334191"/>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Times New Roman" panose="02020603050405020304" pitchFamily="18" charset="0"/>
                <a:ea typeface="+mn-ea"/>
                <a:cs typeface="Times New Roman" panose="02020603050405020304" pitchFamily="18" charset="0"/>
              </a:defRPr>
            </a:pPr>
            <a:endParaRPr lang="en-US"/>
          </a:p>
        </c:txPr>
        <c:crossAx val="1868515455"/>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 dir="row">_xlchart.v1.2</cx:f>
      </cx:numDim>
    </cx:data>
    <cx:data id="1">
      <cx:numDim type="val">
        <cx:f dir="row">_xlchart.v1.1</cx:f>
      </cx:numDim>
    </cx:data>
    <cx:data id="2">
      <cx:numDim type="val">
        <cx:f dir="row">_xlchart.v1.0</cx:f>
      </cx:numDim>
    </cx:data>
  </cx:chartData>
  <cx:chart>
    <cx:plotArea>
      <cx:plotAreaRegion>
        <cx:series layoutId="boxWhisker" uniqueId="{38A8B0B1-7124-2A41-AA23-B8B22A477D01}">
          <cx:tx>
            <cx:txData>
              <cx:f/>
              <cx:v>LOS</cx:v>
            </cx:txData>
          </cx:tx>
          <cx:dataId val="0"/>
          <cx:layoutPr>
            <cx:visibility meanLine="0" meanMarker="1" nonoutliers="0" outliers="1"/>
            <cx:statistics quartileMethod="exclusive"/>
          </cx:layoutPr>
        </cx:series>
        <cx:series layoutId="boxWhisker" uniqueId="{00000001-C4B4-8145-BD52-610B70724D69}">
          <cx:tx>
            <cx:txData>
              <cx:f/>
              <cx:v>ICU</cx:v>
            </cx:txData>
          </cx:tx>
          <cx:dataId val="1"/>
          <cx:layoutPr>
            <cx:statistics quartileMethod="exclusive"/>
          </cx:layoutPr>
        </cx:series>
        <cx:series layoutId="boxWhisker" uniqueId="{00000002-C4B4-8145-BD52-610B70724D69}">
          <cx:tx>
            <cx:txData>
              <cx:f/>
              <cx:v>Mortality</cx:v>
            </cx:txData>
          </cx:tx>
          <cx:dataId val="2"/>
          <cx:layoutPr>
            <cx:statistics quartileMethod="exclusive"/>
          </cx:layoutPr>
        </cx:series>
      </cx:plotAreaRegion>
      <cx:axis id="0" hidden="1">
        <cx:catScaling gapWidth="1.5"/>
        <cx:tickLabels/>
      </cx:axis>
      <cx:axis id="1">
        <cx:valScaling max="29" min="18"/>
        <cx:title>
          <cx:tx>
            <cx:txData>
              <cx:v>Master scale scores</cx:v>
            </cx:txData>
          </cx:tx>
          <cx:txPr>
            <a:bodyPr spcFirstLastPara="1" vertOverflow="ellipsis" horzOverflow="overflow" wrap="square" lIns="0" tIns="0" rIns="0" bIns="0" anchor="ctr" anchorCtr="1"/>
            <a:lstStyle/>
            <a:p>
              <a:pPr algn="ctr" rtl="0">
                <a:defRPr/>
              </a:pPr>
              <a:r>
                <a:rPr lang="en-GB" sz="1500" b="1" i="0" u="none" strike="noStrike" baseline="0">
                  <a:solidFill>
                    <a:sysClr val="windowText" lastClr="000000">
                      <a:lumMod val="65000"/>
                      <a:lumOff val="35000"/>
                    </a:sysClr>
                  </a:solidFill>
                  <a:latin typeface="Times New Roman" panose="02020603050405020304" pitchFamily="18" charset="0"/>
                  <a:cs typeface="Times New Roman" panose="02020603050405020304" pitchFamily="18" charset="0"/>
                </a:rPr>
                <a:t>Master scale scores</a:t>
              </a:r>
            </a:p>
          </cx:txPr>
        </cx:title>
        <cx:majorGridlines/>
        <cx:majorTickMarks type="out"/>
        <cx:tickLabels/>
        <cx:txPr>
          <a:bodyPr spcFirstLastPara="1" vertOverflow="ellipsis" horzOverflow="overflow" wrap="square" lIns="0" tIns="0" rIns="0" bIns="0" anchor="ctr" anchorCtr="1"/>
          <a:lstStyle/>
          <a:p>
            <a:pPr algn="ctr" rtl="0">
              <a:defRPr sz="1300">
                <a:latin typeface="Times New Roman" panose="02020603050405020304" pitchFamily="18" charset="0"/>
                <a:ea typeface="Times New Roman" panose="02020603050405020304" pitchFamily="18" charset="0"/>
                <a:cs typeface="Times New Roman" panose="02020603050405020304" pitchFamily="18" charset="0"/>
              </a:defRPr>
            </a:pPr>
            <a:endParaRPr lang="en-GB" sz="1300" b="0" i="0" u="none" strike="noStrike" baseline="0">
              <a:solidFill>
                <a:sysClr val="windowText" lastClr="000000">
                  <a:lumMod val="65000"/>
                  <a:lumOff val="35000"/>
                </a:sysClr>
              </a:solidFill>
              <a:latin typeface="Times New Roman" panose="02020603050405020304" pitchFamily="18" charset="0"/>
              <a:cs typeface="Times New Roman" panose="02020603050405020304" pitchFamily="18" charset="0"/>
            </a:endParaRPr>
          </a:p>
        </cx:txPr>
      </cx:axis>
    </cx:plotArea>
    <cx:legend pos="r" align="ctr" overlay="0">
      <cx:txPr>
        <a:bodyPr spcFirstLastPara="1" vertOverflow="ellipsis" horzOverflow="overflow" wrap="square" lIns="0" tIns="0" rIns="0" bIns="0" anchor="ctr" anchorCtr="1"/>
        <a:lstStyle/>
        <a:p>
          <a:pPr algn="ctr" rtl="0">
            <a:defRPr sz="1400">
              <a:latin typeface="Times New Roman" panose="02020603050405020304" pitchFamily="18" charset="0"/>
              <a:ea typeface="Times New Roman" panose="02020603050405020304" pitchFamily="18" charset="0"/>
              <a:cs typeface="Times New Roman" panose="02020603050405020304" pitchFamily="18" charset="0"/>
            </a:defRPr>
          </a:pPr>
          <a:endParaRPr lang="en-GB" sz="1400" b="0" i="0" u="none" strike="noStrike" baseline="0">
            <a:solidFill>
              <a:sysClr val="windowText" lastClr="000000">
                <a:lumMod val="65000"/>
                <a:lumOff val="35000"/>
              </a:sysClr>
            </a:solidFill>
            <a:latin typeface="Times New Roman" panose="02020603050405020304" pitchFamily="18" charset="0"/>
            <a:cs typeface="Times New Roman" panose="02020603050405020304" pitchFamily="18"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microsoft.com/office/2014/relationships/chartEx" Target="../charts/chartEx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196</xdr:col>
      <xdr:colOff>297296</xdr:colOff>
      <xdr:row>120</xdr:row>
      <xdr:rowOff>172603</xdr:rowOff>
    </xdr:from>
    <xdr:to>
      <xdr:col>203</xdr:col>
      <xdr:colOff>548409</xdr:colOff>
      <xdr:row>135</xdr:row>
      <xdr:rowOff>0</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E32508D0-EFB0-1342-A22A-41361B8F387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72305896" y="51925103"/>
              <a:ext cx="7007513" cy="3637397"/>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213</xdr:col>
      <xdr:colOff>585932</xdr:colOff>
      <xdr:row>12</xdr:row>
      <xdr:rowOff>562263</xdr:rowOff>
    </xdr:from>
    <xdr:to>
      <xdr:col>220</xdr:col>
      <xdr:colOff>409864</xdr:colOff>
      <xdr:row>42</xdr:row>
      <xdr:rowOff>116031</xdr:rowOff>
    </xdr:to>
    <xdr:grpSp>
      <xdr:nvGrpSpPr>
        <xdr:cNvPr id="10" name="Group 9">
          <a:extLst>
            <a:ext uri="{FF2B5EF4-FFF2-40B4-BE49-F238E27FC236}">
              <a16:creationId xmlns:a16="http://schemas.microsoft.com/office/drawing/2014/main" id="{2C82C0F4-1217-8149-B7D4-52A26C44DC8E}"/>
            </a:ext>
          </a:extLst>
        </xdr:cNvPr>
        <xdr:cNvGrpSpPr/>
      </xdr:nvGrpSpPr>
      <xdr:grpSpPr>
        <a:xfrm>
          <a:off x="288038887" y="5728854"/>
          <a:ext cx="6130636" cy="13653654"/>
          <a:chOff x="265756159" y="4963968"/>
          <a:chExt cx="6130637" cy="11690927"/>
        </a:xfrm>
      </xdr:grpSpPr>
      <xdr:graphicFrame macro="">
        <xdr:nvGraphicFramePr>
          <xdr:cNvPr id="7" name="Chart 6">
            <a:extLst>
              <a:ext uri="{FF2B5EF4-FFF2-40B4-BE49-F238E27FC236}">
                <a16:creationId xmlns:a16="http://schemas.microsoft.com/office/drawing/2014/main" id="{F0314773-13DB-6949-A37E-968E8C0B4162}"/>
              </a:ext>
            </a:extLst>
          </xdr:cNvPr>
          <xdr:cNvGraphicFramePr/>
        </xdr:nvGraphicFramePr>
        <xdr:xfrm>
          <a:off x="265756159" y="4963968"/>
          <a:ext cx="6124864" cy="389716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Chart 7">
            <a:extLst>
              <a:ext uri="{FF2B5EF4-FFF2-40B4-BE49-F238E27FC236}">
                <a16:creationId xmlns:a16="http://schemas.microsoft.com/office/drawing/2014/main" id="{465E6A56-8A77-8749-8BE1-1CD9C8D00F7B}"/>
              </a:ext>
            </a:extLst>
          </xdr:cNvPr>
          <xdr:cNvGraphicFramePr>
            <a:graphicFrameLocks/>
          </xdr:cNvGraphicFramePr>
        </xdr:nvGraphicFramePr>
        <xdr:xfrm>
          <a:off x="265761932" y="8861136"/>
          <a:ext cx="6124864" cy="389716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a:extLst>
              <a:ext uri="{FF2B5EF4-FFF2-40B4-BE49-F238E27FC236}">
                <a16:creationId xmlns:a16="http://schemas.microsoft.com/office/drawing/2014/main" id="{C70ADDDD-A96A-F242-905C-22B0167D102C}"/>
              </a:ext>
            </a:extLst>
          </xdr:cNvPr>
          <xdr:cNvGraphicFramePr>
            <a:graphicFrameLocks/>
          </xdr:cNvGraphicFramePr>
        </xdr:nvGraphicFramePr>
        <xdr:xfrm>
          <a:off x="265761932" y="12757727"/>
          <a:ext cx="6124864" cy="389716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persons/person.xml><?xml version="1.0" encoding="utf-8"?>
<personList xmlns="http://schemas.microsoft.com/office/spreadsheetml/2018/threadedcomments" xmlns:x="http://schemas.openxmlformats.org/spreadsheetml/2006/main">
  <person displayName="Kasim Allel" id="{1D290B73-381C-3847-9CC6-6E76CA6939F4}" userId="S::lsh1807578@lshtm.ac.uk::c9225d74-3476-4da4-8688-e4176001a9c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2" dT="2021-07-20T14:36:30.78" personId="{1D290B73-381C-3847-9CC6-6E76CA6939F4}" id="{003D8AA5-91A1-474D-A789-7019B015893A}">
    <text>30 days mortality, otherwise 7-days if not available</text>
  </threadedComment>
  <threadedComment ref="Y2" dT="2021-07-23T16:54:25.42" personId="{1D290B73-381C-3847-9CC6-6E76CA6939F4}" id="{3D3F999E-DF7C-0340-A8F0-7AA3E634DD3B}">
    <text>Total length of stay</text>
  </threadedComment>
  <threadedComment ref="AV2" dT="2021-07-20T09:23:08.21" personId="{1D290B73-381C-3847-9CC6-6E76CA6939F4}" id="{5D0317CB-305A-F344-8CD1-F07772B7C511}">
    <text xml:space="preserve">Source BSI </text>
  </threadedComment>
  <threadedComment ref="AW2" dT="2021-07-20T09:23:42.91" personId="{1D290B73-381C-3847-9CC6-6E76CA6939F4}" id="{6F6AE342-6BC3-B541-8A78-5EA8BEE99EEE}">
    <text>Source BSI</text>
  </threadedComment>
  <threadedComment ref="AX2" dT="2021-07-20T09:44:19.32" personId="{1D290B73-381C-3847-9CC6-6E76CA6939F4}" id="{FD45DDEF-8FB6-964B-99F5-708CC914C278}">
    <text>source of infection</text>
  </threadedComment>
  <threadedComment ref="AY2" dT="2021-07-20T09:23:49.45" personId="{1D290B73-381C-3847-9CC6-6E76CA6939F4}" id="{31D10F6D-9D2E-844A-AE45-4E7A652C069F}">
    <text>Source BSI</text>
  </threadedComment>
  <threadedComment ref="AZ2" dT="2021-07-20T09:23:27.97" personId="{1D290B73-381C-3847-9CC6-6E76CA6939F4}" id="{AA814B03-2BDC-1343-985D-896A66F76705}">
    <text>source of BSI</text>
  </threadedComment>
  <threadedComment ref="CB2" dT="2021-07-20T09:23:58.34" personId="{1D290B73-381C-3847-9CC6-6E76CA6939F4}" id="{34A29912-04B3-8644-82DF-1F3EA49A4930}">
    <text>Source BSI</text>
  </threadedComment>
  <threadedComment ref="CC2" dT="2021-07-20T09:24:04.03" personId="{1D290B73-381C-3847-9CC6-6E76CA6939F4}" id="{8B204077-5CF3-F04E-8B1D-57E352C64796}">
    <text>Source BSI</text>
  </threadedComment>
  <threadedComment ref="CD2" dT="2021-07-20T09:44:43.46" personId="{1D290B73-381C-3847-9CC6-6E76CA6939F4}" id="{16ACC1CC-55A7-8849-A642-6706807C44D6}">
    <text>source of BSI</text>
  </threadedComment>
  <threadedComment ref="CE2" dT="2021-07-20T09:24:09.15" personId="{1D290B73-381C-3847-9CC6-6E76CA6939F4}" id="{89AD9C56-B7EB-6249-92DA-83425DEBFCF1}">
    <text>Source BSI</text>
  </threadedComment>
  <threadedComment ref="CF2" dT="2021-07-20T09:24:14.12" personId="{1D290B73-381C-3847-9CC6-6E76CA6939F4}" id="{7CA81BB5-F5B2-4046-B2C0-8C79477F7B85}">
    <text>Source BSI</text>
  </threadedComment>
  <threadedComment ref="AD10" dT="2021-07-21T07:42:24.61" personId="{1D290B73-381C-3847-9CC6-6E76CA6939F4}" id="{3CB54424-3728-194B-8954-93716423D74F}">
    <text>2012 COP</text>
  </threadedComment>
  <threadedComment ref="AE10" dT="2021-07-21T07:42:39.86" personId="{1D290B73-381C-3847-9CC6-6E76CA6939F4}" id="{81343A42-6015-0B43-9AD1-C7E26C255B64}">
    <text>2012 COP</text>
  </threadedComment>
  <threadedComment ref="AD21" dT="2021-07-20T16:52:25.61" personId="{1D290B73-381C-3847-9CC6-6E76CA6939F4}" id="{A349DF43-EF9F-C443-9F89-B5F087E84C25}">
    <text>in USD 2018</text>
  </threadedComment>
  <threadedComment ref="BJ21" dT="2021-07-20T16:52:34.88" personId="{1D290B73-381C-3847-9CC6-6E76CA6939F4}" id="{2C1474E2-8150-9D4D-B789-B47A65F4D1E3}">
    <text>in USD 2018</text>
  </threadedComment>
  <threadedComment ref="A53" dT="2021-08-02T11:32:01.98" personId="{1D290B73-381C-3847-9CC6-6E76CA6939F4}" id="{47236D30-8DEA-A140-AAFB-4F374B8FA8AD}">
    <text>Excess mortality reported</text>
  </threadedComment>
  <threadedComment ref="A54" dT="2021-08-02T11:32:01.98" personId="{1D290B73-381C-3847-9CC6-6E76CA6939F4}" id="{7B2257A6-7DAE-9143-83D0-0C9AB34E2E89}">
    <text>Excess mortality reported</text>
  </threadedComment>
  <threadedComment ref="A55" dT="2021-08-02T11:32:01.98" personId="{1D290B73-381C-3847-9CC6-6E76CA6939F4}" id="{874D485F-A720-C247-AAE0-993015940FA7}">
    <text>Excess mortality reported</text>
  </threadedComment>
  <threadedComment ref="A56" dT="2021-08-02T11:32:01.98" personId="{1D290B73-381C-3847-9CC6-6E76CA6939F4}" id="{AB468B04-0AF2-8E4E-917A-A739C13438F6}">
    <text>Excess mortality reported</text>
  </threadedComment>
  <threadedComment ref="A57" dT="2021-08-02T11:32:01.98" personId="{1D290B73-381C-3847-9CC6-6E76CA6939F4}" id="{D4FB745C-325E-DB4E-AFDE-D8442D6717DF}">
    <text>Excess mortality reported</text>
  </threadedComment>
  <threadedComment ref="D93" dT="2021-07-09T08:24:20.61" personId="{1D290B73-381C-3847-9CC6-6E76CA6939F4}" id="{CD67DD85-DB68-C945-B5DA-70FA3CD55E68}">
    <text>This includes multiple LMICs
In the same sample</text>
  </threadedComment>
  <threadedComment ref="Y93" dT="2021-07-22T10:55:32.66" personId="{1D290B73-381C-3847-9CC6-6E76CA6939F4}" id="{FBCC03DA-49B1-A244-B6C1-E14225675BE1}">
    <text xml:space="preserve">reported as excess length of stay compared to carbapenem susceptible enterobacteriacae
</text>
  </threadedComment>
</ThreadedComments>
</file>

<file path=xl/threadedComments/threadedComment2.xml><?xml version="1.0" encoding="utf-8"?>
<ThreadedComments xmlns="http://schemas.microsoft.com/office/spreadsheetml/2018/threadedcomments" xmlns:x="http://schemas.openxmlformats.org/spreadsheetml/2006/main">
  <threadedComment ref="H5" dT="2022-10-03T08:51:26.36" personId="{1D290B73-381C-3847-9CC6-6E76CA6939F4}" id="{9908884D-699F-0045-B0BD-6E4608376C18}">
    <text>Patients with the absence of medical records or inadequate data and discharged against medical advice were excluded</text>
  </threadedComment>
  <threadedComment ref="I5" dT="2022-01-18T14:50:29.01" personId="{1D290B73-381C-3847-9CC6-6E76CA6939F4}" id="{64AA221F-07A7-854F-9577-A67B6C5265E1}">
    <text>positive multiple organisms excluded</text>
  </threadedComment>
  <threadedComment ref="P5" dT="2022-10-03T09:21:14.26" personId="{1D290B73-381C-3847-9CC6-6E76CA6939F4}" id="{BB8B3D9D-3F28-694C-A456-B1021F0E71C1}">
    <text>Patients with more than one bacterial growth in the blood culture, patients younger than 18 years and pregnant women were excluded from the study</text>
  </threadedComment>
  <threadedComment ref="S5" dT="2022-10-03T11:26:08.58" personId="{1D290B73-381C-3847-9CC6-6E76CA6939F4}" id="{972EF5AF-109D-3249-A92E-FC43F259F4BA}">
    <text>Only the first episode of K. pneumoniae BSI was included. Also, missing data on medical records.</text>
  </threadedComment>
  <threadedComment ref="BC5" dT="2022-10-03T12:53:48.50" personId="{1D290B73-381C-3847-9CC6-6E76CA6939F4}" id="{DE0FFC3E-B064-B041-BB6D-3488CB4D482C}">
    <text>Excluded if they were not being treated with curative intent for the entire cal-
endar day on which the index blood culture was collected.</text>
  </threadedComment>
  <threadedComment ref="BS5" dT="2022-10-03T13:00:26.42" personId="{1D290B73-381C-3847-9CC6-6E76CA6939F4}" id="{00013F11-1A15-F343-9DE7-D420F272E9EC}">
    <text>only patients who had all clinical and laboratory data available were included. The exclusion criteria were as follows: The hospitalization was &lt;24 hours.</text>
  </threadedComment>
  <threadedComment ref="BU5" dT="2022-10-03T13:05:48.03" personId="{1D290B73-381C-3847-9CC6-6E76CA6939F4}" id="{654B62D5-6BBC-884C-BAFC-C61D33327E8F}">
    <text xml:space="preserve">Only the first episode of K. pneumoniae BSI was included. Patients with multibacterial BSI or patients with incomplete medical records were excluded. </text>
  </threadedComment>
  <threadedComment ref="CI5" dT="2022-10-03T13:20:56.68" personId="{1D290B73-381C-3847-9CC6-6E76CA6939F4}" id="{36B2597D-140F-4F4F-BDAF-7D411DD9A4F1}">
    <text>Only the first episode of BSI was included, and the remaining sequential isolates were discarded. The detailed inclusion criteria were as follows: (a) patients aged ≥18 years; (b) hospitalization with a complete clinical data set; (c) a blood culture positive for KP and the sample preserved in our laboratory; and (d) clinical manifestations of infection</text>
  </threadedComment>
  <threadedComment ref="CN5" dT="2022-10-03T13:28:57.41" personId="{1D290B73-381C-3847-9CC6-6E76CA6939F4}" id="{A758929D-F06A-E946-86C6-660A43C71660}">
    <text xml:space="preserve">P. aeruginosa detected in at least
one blood culture; clinical manifestations supporting a diagnosis
of BSI; and hospital cost and clinical data available both for com-
munity and hospital infections. Data for patients without adequate
clinical information and aged &lt;16 years were excluded. </text>
  </threadedComment>
  <threadedComment ref="CW5" dT="2022-10-03T13:35:19.17" personId="{1D290B73-381C-3847-9CC6-6E76CA6939F4}" id="{0C319D81-B9E5-4846-8EED-ECCB6B343958}">
    <text>Patients with polymicrobial infections were excluded from this study.</text>
  </threadedComment>
  <threadedComment ref="DC5" dT="2022-10-03T13:42:40.13" personId="{1D290B73-381C-3847-9CC6-6E76CA6939F4}" id="{299EC470-73FE-BC48-95A8-95DDDD9603AC}">
    <text>If the same patient had more than two episodes of Enterobacteriaceae bacteremia within 6 months, this study only included the first bloodstream infection data. Only patients with complete clinical microbiological and cost data for analysis were included in this study.</text>
  </threadedComment>
  <threadedComment ref="DK5" dT="2022-10-03T08:51:26.36" personId="{1D290B73-381C-3847-9CC6-6E76CA6939F4}" id="{A8E5426A-6A69-3E46-8D12-29C10EA0DAC4}">
    <text>Patients with the absence of medical records or inadequate data and discharged against medical advice were excluded</text>
  </threadedComment>
  <threadedComment ref="DS5" dT="2022-10-03T09:21:14.26" personId="{1D290B73-381C-3847-9CC6-6E76CA6939F4}" id="{E35455F7-B7B3-9D41-8FFA-8B0E14355BC7}">
    <text>Patients with more than one bacterial growth in the blood culture, patients younger than 18 years and pregnant women were excluded from the study</text>
  </threadedComment>
  <threadedComment ref="EM5" dT="2022-10-03T12:53:48.50" personId="{1D290B73-381C-3847-9CC6-6E76CA6939F4}" id="{0DDAE57C-E761-1845-B9C1-433C69006B08}">
    <text>Excluded if they were not being treated with curative intent for the entire cal-
endar day on which the index blood culture was collected.</text>
  </threadedComment>
  <threadedComment ref="FB5" dT="2022-10-03T13:28:57.41" personId="{1D290B73-381C-3847-9CC6-6E76CA6939F4}" id="{64F584BF-3A09-D143-AD69-7B43950F17D4}">
    <text xml:space="preserve">P. aeruginosa detected in at least
one blood culture; clinical manifestations supporting a diagnosis
of BSI; and hospital cost and clinical data available both for com-
munity and hospital infections. Data for patients without adequate
clinical information and aged &lt;16 years were excluded. </text>
  </threadedComment>
  <threadedComment ref="FH5" dT="2022-10-03T13:42:40.13" personId="{1D290B73-381C-3847-9CC6-6E76CA6939F4}" id="{FE368A92-DE8F-1849-9759-500F9954CAB8}">
    <text>If the same patient had more than two episodes of Enterobacteriaceae bacteremia within 6 months, this study only included the first bloodstream infection data. Only patients with complete clinical microbiological and cost data for analysis were included in this study.</text>
  </threadedComment>
  <threadedComment ref="FN5" dT="2022-10-03T08:51:26.36" personId="{1D290B73-381C-3847-9CC6-6E76CA6939F4}" id="{D783E2A4-EE7C-B443-9548-49277AFF1D77}">
    <text>Patients with the absence of medical records or inadequate data and discharged against medical advice were excluded</text>
  </threadedComment>
  <threadedComment ref="FR5" dT="2022-10-03T11:26:08.58" personId="{1D290B73-381C-3847-9CC6-6E76CA6939F4}" id="{C02437C4-0675-5A45-AFC9-667F1289ACC2}">
    <text>Only the first episode of K. pneumoniae BSI was included. Also, missing data on medical records.</text>
  </threadedComment>
  <threadedComment ref="GS5" dT="2022-10-03T13:28:57.41" personId="{1D290B73-381C-3847-9CC6-6E76CA6939F4}" id="{0609811D-3B44-284D-A670-B1F0B27E6CF4}">
    <text xml:space="preserve">P. aeruginosa detected in at least
one blood culture; clinical manifestations supporting a diagnosis
of BSI; and hospital cost and clinical data available both for com-
munity and hospital infections. Data for patients without adequate
clinical information and aged &lt;16 years were excluded. </text>
  </threadedComment>
  <threadedComment ref="HA5" dT="2022-10-03T13:42:40.13" personId="{1D290B73-381C-3847-9CC6-6E76CA6939F4}" id="{71CBF8FD-B30B-1B4E-A64A-A61C8C49BF14}">
    <text>If the same patient had more than two episodes of Enterobacteriaceae bacteremia within 6 months, this study only included the first bloodstream infection data. Only patients with complete clinical microbiological and cost data for analysis were included in this study.</text>
  </threadedComment>
  <threadedComment ref="BY14" dT="2022-10-03T13:13:09.88" personId="{1D290B73-381C-3847-9CC6-6E76CA6939F4}" id="{10172B71-C7D5-8E44-8B9E-949295900620}">
    <text>Patients with 
hematologic malignancies</text>
  </threadedComment>
  <threadedComment ref="H18" dT="2022-10-03T08:54:37.01" personId="{1D290B73-381C-3847-9CC6-6E76CA6939F4}" id="{33F8DF47-4045-2540-8883-ED5B9C5638EE}">
    <text>Exclusion was 18%, hence less than 20%</text>
  </threadedComment>
  <threadedComment ref="P18" dT="2022-10-03T09:24:17.70" personId="{1D290B73-381C-3847-9CC6-6E76CA6939F4}" id="{31614964-8731-B24C-B15D-D0B000A61277}">
    <text>154/365</text>
  </threadedComment>
  <threadedComment ref="DK18" dT="2022-10-03T08:54:37.01" personId="{1D290B73-381C-3847-9CC6-6E76CA6939F4}" id="{37B4F324-3AAA-7040-8276-F6DCDED59D16}">
    <text>Exclusion was 18%, hence less than 20%</text>
  </threadedComment>
  <threadedComment ref="DS18" dT="2022-10-03T09:24:17.70" personId="{1D290B73-381C-3847-9CC6-6E76CA6939F4}" id="{0FAD830B-C15A-2D4D-9520-45C936EAAFB1}">
    <text>154/365</text>
  </threadedComment>
  <threadedComment ref="FN18" dT="2022-10-03T08:54:37.01" personId="{1D290B73-381C-3847-9CC6-6E76CA6939F4}" id="{414DFD1D-8C92-E946-ABF8-C13C31939C00}">
    <text>Exclusion was 18%, hence less than 20%</text>
  </threadedComment>
  <threadedComment ref="H65" dT="2022-10-03T09:02:22.28" personId="{1D290B73-381C-3847-9CC6-6E76CA6939F4}" id="{17043CB2-D637-6E4F-888B-29574387653A}">
    <text>No significant variation for historical ATB consumption between groups</text>
  </threadedComment>
  <threadedComment ref="DK65" dT="2022-10-03T09:02:22.28" personId="{1D290B73-381C-3847-9CC6-6E76CA6939F4}" id="{E17DB3CC-78E1-CB46-92CF-9BD5D556872C}">
    <text>No significant variation for historical ATB consumption between groups</text>
  </threadedComment>
  <threadedComment ref="FN65" dT="2022-10-03T09:02:22.28" personId="{1D290B73-381C-3847-9CC6-6E76CA6939F4}" id="{13CFD63B-3E90-9C40-B0EE-A0424C9B9E5C}">
    <text>No significant variation for historical ATB consumption between groups</text>
  </threadedComment>
  <threadedComment ref="H75" dT="2022-10-03T09:03:15.83" personId="{1D290B73-381C-3847-9CC6-6E76CA6939F4}" id="{4B2253AE-E575-044A-BAFE-BB5C525F1DF5}">
    <text>Multivariate analyses</text>
  </threadedComment>
  <threadedComment ref="Z75" dT="2022-10-03T11:42:35.04" personId="{1D290B73-381C-3847-9CC6-6E76CA6939F4}" id="{FD97AB09-6D0E-2447-909C-F27C27FF4C5C}">
    <text>Matched control cohort</text>
  </threadedComment>
  <threadedComment ref="FV75" dT="2022-10-03T11:42:35.04" personId="{1D290B73-381C-3847-9CC6-6E76CA6939F4}" id="{7E53F832-DF8F-E64C-A0BD-3290D3A3FC7E}">
    <text>Matched control cohort</text>
  </threadedComment>
  <threadedComment ref="H78" dT="2022-10-03T09:04:06.69" personId="{1D290B73-381C-3847-9CC6-6E76CA6939F4}" id="{3A20D5B5-6034-EF4E-9BA3-1FCC8309E480}">
    <text>No justification</text>
  </threadedComment>
  <threadedComment ref="DK78" dT="2022-10-03T09:04:06.69" personId="{1D290B73-381C-3847-9CC6-6E76CA6939F4}" id="{4C9943DD-012D-2D4D-B869-412AD406C297}">
    <text>No justification</text>
  </threadedComment>
  <threadedComment ref="FN78" dT="2022-10-03T09:04:06.69" personId="{1D290B73-381C-3847-9CC6-6E76CA6939F4}" id="{EBA7F80A-FEF7-F140-8F85-AFF50C640DFA}">
    <text>No justification</text>
  </threadedComment>
  <threadedComment ref="S97" dT="2022-10-03T11:32:20.51" personId="{1D290B73-381C-3847-9CC6-6E76CA6939F4}" id="{7B30A234-EEF0-0348-B76C-41008A80524A}">
    <text>Error Table 1; age segments 70-80</text>
  </threadedComment>
  <threadedComment ref="FR97" dT="2022-10-03T11:32:20.51" personId="{1D290B73-381C-3847-9CC6-6E76CA6939F4}" id="{290BC53A-7F21-3040-B5F9-8A72FA5463A9}">
    <text>Error Table 1; age segments 70-80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D0CAB-6CB9-D443-A0A7-5A8020ABAA46}">
  <sheetPr codeName="Sheet1"/>
  <dimension ref="A1:CS143"/>
  <sheetViews>
    <sheetView tabSelected="1" zoomScale="93" zoomScaleNormal="93" workbookViewId="0">
      <pane ySplit="2" topLeftCell="A3" activePane="bottomLeft" state="frozen"/>
      <selection activeCell="O1" sqref="O1"/>
      <selection pane="bottomLeft" activeCell="D111" sqref="D111"/>
    </sheetView>
  </sheetViews>
  <sheetFormatPr baseColWidth="10" defaultColWidth="10.83203125" defaultRowHeight="16"/>
  <cols>
    <col min="1" max="1" width="6.5" style="28" customWidth="1"/>
    <col min="2" max="2" width="5.5" style="22" customWidth="1"/>
    <col min="3" max="3" width="13.6640625" style="28" customWidth="1"/>
    <col min="4" max="4" width="16.6640625" style="28" customWidth="1"/>
    <col min="5" max="5" width="16" style="28" customWidth="1"/>
    <col min="6" max="6" width="7.6640625" style="22" customWidth="1"/>
    <col min="7" max="7" width="10.83203125" style="22"/>
    <col min="8" max="8" width="10.1640625" style="29" customWidth="1"/>
    <col min="9" max="9" width="23.1640625" style="29" customWidth="1"/>
    <col min="10" max="11" width="18.6640625" style="29" customWidth="1"/>
    <col min="12" max="12" width="37.33203125" style="29" customWidth="1"/>
    <col min="13" max="13" width="20.83203125" style="29" customWidth="1"/>
    <col min="14" max="14" width="14.1640625" style="29" customWidth="1"/>
    <col min="15" max="15" width="15.33203125" style="29" customWidth="1"/>
    <col min="16" max="16" width="13.5" style="29" customWidth="1"/>
    <col min="17" max="17" width="14.5" style="22" customWidth="1"/>
    <col min="18" max="18" width="13.1640625" style="22" customWidth="1"/>
    <col min="19" max="19" width="11.33203125" style="15" customWidth="1"/>
    <col min="20" max="21" width="11.33203125" style="22" customWidth="1"/>
    <col min="22" max="23" width="17.1640625" style="22" customWidth="1"/>
    <col min="24" max="24" width="12.83203125" style="22" customWidth="1"/>
    <col min="25" max="26" width="10.83203125" style="22"/>
    <col min="27" max="27" width="14.5" style="22" customWidth="1"/>
    <col min="28" max="29" width="10.83203125" style="22"/>
    <col min="30" max="30" width="7.6640625" style="22" customWidth="1"/>
    <col min="31" max="31" width="7.1640625" style="22" customWidth="1"/>
    <col min="32" max="38" width="10.83203125" style="22"/>
    <col min="39" max="39" width="11.83203125" style="22" customWidth="1"/>
    <col min="40" max="40" width="14.33203125" style="22" customWidth="1"/>
    <col min="41" max="43" width="11.1640625" style="22" customWidth="1"/>
    <col min="44" max="44" width="11" style="22" customWidth="1"/>
    <col min="45" max="45" width="10.6640625" style="22" customWidth="1"/>
    <col min="46" max="46" width="11.83203125" style="22" customWidth="1"/>
    <col min="47" max="47" width="11.33203125" style="22" customWidth="1"/>
    <col min="48" max="48" width="12.83203125" style="22" customWidth="1"/>
    <col min="49" max="49" width="11.83203125" style="22" customWidth="1"/>
    <col min="50" max="50" width="15.1640625" style="22" customWidth="1"/>
    <col min="51" max="51" width="15.33203125" style="22" customWidth="1"/>
    <col min="52" max="52" width="11.83203125" style="22" customWidth="1"/>
    <col min="53" max="53" width="10.83203125" style="22"/>
    <col min="54" max="54" width="12.5" style="22" customWidth="1"/>
    <col min="55" max="55" width="17.1640625" style="22" customWidth="1"/>
    <col min="56" max="58" width="10.83203125" style="22"/>
    <col min="59" max="59" width="13.1640625" style="22" customWidth="1"/>
    <col min="60" max="61" width="10.83203125" style="22"/>
    <col min="62" max="63" width="7.83203125" style="22" customWidth="1"/>
    <col min="64" max="65" width="11.6640625" style="22" bestFit="1" customWidth="1"/>
    <col min="66" max="67" width="10.83203125" style="22"/>
    <col min="68" max="68" width="12.5" style="22" customWidth="1"/>
    <col min="69" max="70" width="10.83203125" style="22"/>
    <col min="71" max="71" width="12.5" style="22" customWidth="1"/>
    <col min="72" max="72" width="16.33203125" style="22" customWidth="1"/>
    <col min="73" max="73" width="10.5" style="22" customWidth="1"/>
    <col min="74" max="74" width="9.1640625" style="22" customWidth="1"/>
    <col min="75" max="75" width="11.6640625" style="22" customWidth="1"/>
    <col min="76" max="76" width="10.83203125" style="22" customWidth="1"/>
    <col min="77" max="77" width="10" style="22" customWidth="1"/>
    <col min="78" max="78" width="9.83203125" style="22" customWidth="1"/>
    <col min="79" max="80" width="13.5" style="22" customWidth="1"/>
    <col min="81" max="81" width="11.83203125" style="22" customWidth="1"/>
    <col min="82" max="82" width="17.6640625" style="22" customWidth="1"/>
    <col min="83" max="83" width="13.83203125" style="22" customWidth="1"/>
    <col min="84" max="84" width="11.83203125" style="22" customWidth="1"/>
    <col min="85" max="85" width="12" style="22" customWidth="1"/>
    <col min="86" max="86" width="13.5" style="22" customWidth="1"/>
    <col min="87" max="87" width="11.6640625" style="22" bestFit="1" customWidth="1"/>
    <col min="88" max="92" width="10.83203125" style="22"/>
    <col min="93" max="93" width="10.83203125" style="29"/>
    <col min="94" max="16384" width="10.83203125" style="22"/>
  </cols>
  <sheetData>
    <row r="1" spans="1:97" s="1" customFormat="1" ht="42" customHeight="1">
      <c r="A1" s="155" t="s">
        <v>14</v>
      </c>
      <c r="B1" s="160" t="s">
        <v>531</v>
      </c>
      <c r="C1" s="157" t="s">
        <v>24</v>
      </c>
      <c r="D1" s="157" t="s">
        <v>8</v>
      </c>
      <c r="E1" s="143" t="s">
        <v>525</v>
      </c>
      <c r="F1" s="157" t="s">
        <v>0</v>
      </c>
      <c r="G1" s="143" t="s">
        <v>9</v>
      </c>
      <c r="H1" s="143" t="s">
        <v>67</v>
      </c>
      <c r="I1" s="143" t="s">
        <v>79</v>
      </c>
      <c r="J1" s="143" t="s">
        <v>16</v>
      </c>
      <c r="K1" s="143" t="s">
        <v>17</v>
      </c>
      <c r="L1" s="143" t="s">
        <v>1</v>
      </c>
      <c r="M1" s="143" t="s">
        <v>674</v>
      </c>
      <c r="N1" s="143" t="s">
        <v>33</v>
      </c>
      <c r="O1" s="143" t="s">
        <v>676</v>
      </c>
      <c r="P1" s="143" t="s">
        <v>677</v>
      </c>
      <c r="Q1" s="143" t="s">
        <v>678</v>
      </c>
      <c r="R1" s="145" t="s">
        <v>679</v>
      </c>
      <c r="S1" s="143" t="s">
        <v>430</v>
      </c>
      <c r="T1" s="153" t="s">
        <v>805</v>
      </c>
      <c r="U1" s="154"/>
      <c r="V1" s="143" t="s">
        <v>10</v>
      </c>
      <c r="W1" s="150" t="s">
        <v>2</v>
      </c>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2"/>
      <c r="BC1" s="147" t="s">
        <v>15</v>
      </c>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9"/>
      <c r="CI1" s="140" t="s">
        <v>178</v>
      </c>
      <c r="CJ1" s="141"/>
      <c r="CK1" s="141"/>
      <c r="CL1" s="140" t="s">
        <v>179</v>
      </c>
      <c r="CM1" s="141"/>
      <c r="CN1" s="142"/>
      <c r="CO1" s="136" t="s">
        <v>34</v>
      </c>
      <c r="CP1" s="137"/>
      <c r="CQ1" s="137"/>
      <c r="CR1" s="137"/>
      <c r="CS1" s="137"/>
    </row>
    <row r="2" spans="1:97" s="2" customFormat="1" ht="69" customHeight="1">
      <c r="A2" s="156"/>
      <c r="B2" s="161"/>
      <c r="C2" s="158"/>
      <c r="D2" s="158"/>
      <c r="E2" s="144"/>
      <c r="F2" s="158"/>
      <c r="G2" s="144"/>
      <c r="H2" s="144"/>
      <c r="I2" s="144"/>
      <c r="J2" s="144"/>
      <c r="K2" s="144"/>
      <c r="L2" s="144"/>
      <c r="M2" s="144"/>
      <c r="N2" s="144"/>
      <c r="O2" s="144"/>
      <c r="P2" s="144"/>
      <c r="Q2" s="144"/>
      <c r="R2" s="146"/>
      <c r="S2" s="144"/>
      <c r="T2" s="82" t="s">
        <v>763</v>
      </c>
      <c r="U2" s="82" t="s">
        <v>764</v>
      </c>
      <c r="V2" s="159"/>
      <c r="W2" s="11" t="s">
        <v>18</v>
      </c>
      <c r="X2" s="11" t="s">
        <v>180</v>
      </c>
      <c r="Y2" s="12" t="s">
        <v>4</v>
      </c>
      <c r="Z2" s="12" t="s">
        <v>5</v>
      </c>
      <c r="AA2" s="12" t="s">
        <v>540</v>
      </c>
      <c r="AB2" s="12" t="s">
        <v>3</v>
      </c>
      <c r="AC2" s="12" t="s">
        <v>541</v>
      </c>
      <c r="AD2" s="12" t="s">
        <v>6</v>
      </c>
      <c r="AE2" s="12" t="s">
        <v>7</v>
      </c>
      <c r="AF2" s="12" t="s">
        <v>11</v>
      </c>
      <c r="AG2" s="12" t="s">
        <v>12</v>
      </c>
      <c r="AH2" s="12" t="s">
        <v>13</v>
      </c>
      <c r="AI2" s="12" t="s">
        <v>395</v>
      </c>
      <c r="AJ2" s="12" t="s">
        <v>504</v>
      </c>
      <c r="AK2" s="12" t="s">
        <v>396</v>
      </c>
      <c r="AL2" s="12" t="s">
        <v>181</v>
      </c>
      <c r="AM2" s="12" t="s">
        <v>182</v>
      </c>
      <c r="AN2" s="12" t="s">
        <v>413</v>
      </c>
      <c r="AO2" s="12" t="s">
        <v>543</v>
      </c>
      <c r="AP2" s="12" t="s">
        <v>538</v>
      </c>
      <c r="AQ2" s="12" t="s">
        <v>539</v>
      </c>
      <c r="AR2" s="12" t="s">
        <v>542</v>
      </c>
      <c r="AS2" s="12" t="s">
        <v>536</v>
      </c>
      <c r="AT2" s="12" t="s">
        <v>537</v>
      </c>
      <c r="AU2" s="12" t="s">
        <v>535</v>
      </c>
      <c r="AV2" s="35" t="s">
        <v>390</v>
      </c>
      <c r="AW2" s="35" t="s">
        <v>397</v>
      </c>
      <c r="AX2" s="35" t="s">
        <v>398</v>
      </c>
      <c r="AY2" s="35" t="s">
        <v>516</v>
      </c>
      <c r="AZ2" s="35" t="s">
        <v>412</v>
      </c>
      <c r="BA2" s="12" t="s">
        <v>392</v>
      </c>
      <c r="BB2" s="12" t="s">
        <v>20</v>
      </c>
      <c r="BC2" s="17" t="s">
        <v>19</v>
      </c>
      <c r="BD2" s="17" t="s">
        <v>180</v>
      </c>
      <c r="BE2" s="18" t="s">
        <v>4</v>
      </c>
      <c r="BF2" s="18" t="s">
        <v>5</v>
      </c>
      <c r="BG2" s="18" t="s">
        <v>540</v>
      </c>
      <c r="BH2" s="18" t="s">
        <v>3</v>
      </c>
      <c r="BI2" s="18" t="s">
        <v>541</v>
      </c>
      <c r="BJ2" s="18" t="s">
        <v>6</v>
      </c>
      <c r="BK2" s="18" t="s">
        <v>7</v>
      </c>
      <c r="BL2" s="18" t="s">
        <v>11</v>
      </c>
      <c r="BM2" s="18" t="s">
        <v>12</v>
      </c>
      <c r="BN2" s="18" t="s">
        <v>13</v>
      </c>
      <c r="BO2" s="18" t="s">
        <v>395</v>
      </c>
      <c r="BP2" s="18" t="s">
        <v>504</v>
      </c>
      <c r="BQ2" s="18" t="s">
        <v>396</v>
      </c>
      <c r="BR2" s="18" t="s">
        <v>181</v>
      </c>
      <c r="BS2" s="18" t="s">
        <v>182</v>
      </c>
      <c r="BT2" s="18" t="s">
        <v>413</v>
      </c>
      <c r="BU2" s="18" t="s">
        <v>543</v>
      </c>
      <c r="BV2" s="18" t="s">
        <v>538</v>
      </c>
      <c r="BW2" s="18" t="s">
        <v>539</v>
      </c>
      <c r="BX2" s="18" t="s">
        <v>542</v>
      </c>
      <c r="BY2" s="18" t="s">
        <v>536</v>
      </c>
      <c r="BZ2" s="18" t="s">
        <v>537</v>
      </c>
      <c r="CA2" s="18" t="s">
        <v>535</v>
      </c>
      <c r="CB2" s="33" t="s">
        <v>389</v>
      </c>
      <c r="CC2" s="33" t="s">
        <v>397</v>
      </c>
      <c r="CD2" s="33" t="s">
        <v>505</v>
      </c>
      <c r="CE2" s="33" t="s">
        <v>516</v>
      </c>
      <c r="CF2" s="34" t="s">
        <v>412</v>
      </c>
      <c r="CG2" s="18" t="s">
        <v>392</v>
      </c>
      <c r="CH2" s="19" t="s">
        <v>20</v>
      </c>
      <c r="CI2" s="23" t="s">
        <v>21</v>
      </c>
      <c r="CJ2" s="23" t="s">
        <v>22</v>
      </c>
      <c r="CK2" s="23" t="s">
        <v>23</v>
      </c>
      <c r="CL2" s="24" t="s">
        <v>21</v>
      </c>
      <c r="CM2" s="23" t="s">
        <v>22</v>
      </c>
      <c r="CN2" s="25" t="s">
        <v>23</v>
      </c>
      <c r="CO2" s="138"/>
      <c r="CP2" s="139"/>
      <c r="CQ2" s="139"/>
      <c r="CR2" s="139"/>
      <c r="CS2" s="139"/>
    </row>
    <row r="3" spans="1:97" s="8" customFormat="1">
      <c r="A3" s="30">
        <v>1</v>
      </c>
      <c r="B3" s="52">
        <v>1</v>
      </c>
      <c r="C3" s="4" t="s">
        <v>28</v>
      </c>
      <c r="D3" s="5" t="s">
        <v>526</v>
      </c>
      <c r="E3" s="5" t="str">
        <f>+CONCATENATE(LEFT(D3,FIND(" ",D3,1)),F3)</f>
        <v>Abhilash, 2010</v>
      </c>
      <c r="F3" s="7">
        <v>2010</v>
      </c>
      <c r="G3" s="7" t="s">
        <v>29</v>
      </c>
      <c r="H3" s="10" t="s">
        <v>69</v>
      </c>
      <c r="I3" s="10" t="s">
        <v>82</v>
      </c>
      <c r="J3" s="10" t="s">
        <v>31</v>
      </c>
      <c r="K3" s="10" t="s">
        <v>665</v>
      </c>
      <c r="L3" s="6" t="s">
        <v>680</v>
      </c>
      <c r="M3" s="6" t="s">
        <v>176</v>
      </c>
      <c r="N3" s="10" t="s">
        <v>388</v>
      </c>
      <c r="O3" s="10" t="s">
        <v>43</v>
      </c>
      <c r="P3" s="10" t="s">
        <v>41</v>
      </c>
      <c r="Q3" s="7" t="s">
        <v>30</v>
      </c>
      <c r="R3" s="15" t="s">
        <v>32</v>
      </c>
      <c r="S3" s="86" t="s">
        <v>443</v>
      </c>
      <c r="T3" s="15" t="s">
        <v>765</v>
      </c>
      <c r="U3" s="86" t="s">
        <v>766</v>
      </c>
      <c r="V3" s="88">
        <v>131</v>
      </c>
      <c r="W3" s="14">
        <v>96</v>
      </c>
      <c r="X3" s="13">
        <f>0.252*W3</f>
        <v>24.192</v>
      </c>
      <c r="Y3" s="14"/>
      <c r="Z3" s="14"/>
      <c r="AA3" s="14"/>
      <c r="AB3" s="14"/>
      <c r="AC3" s="14"/>
      <c r="AD3" s="14"/>
      <c r="AE3" s="14"/>
      <c r="AF3" s="14">
        <v>50</v>
      </c>
      <c r="AG3" s="14"/>
      <c r="AH3" s="14">
        <v>35</v>
      </c>
      <c r="AI3" s="14">
        <v>17</v>
      </c>
      <c r="AJ3" s="14"/>
      <c r="AK3" s="14">
        <v>26</v>
      </c>
      <c r="AL3" s="14">
        <v>44</v>
      </c>
      <c r="AM3" s="14">
        <v>21</v>
      </c>
      <c r="AN3" s="14">
        <v>7</v>
      </c>
      <c r="AO3" s="14">
        <v>7</v>
      </c>
      <c r="AP3" s="14">
        <v>7</v>
      </c>
      <c r="AQ3" s="14">
        <v>8</v>
      </c>
      <c r="AR3" s="14"/>
      <c r="AS3" s="14">
        <v>14</v>
      </c>
      <c r="AT3" s="14"/>
      <c r="AU3" s="14"/>
      <c r="AV3" s="14">
        <v>44</v>
      </c>
      <c r="AW3" s="14">
        <v>19</v>
      </c>
      <c r="AX3" s="14"/>
      <c r="AY3" s="14">
        <v>7</v>
      </c>
      <c r="AZ3" s="14">
        <v>26</v>
      </c>
      <c r="BA3" s="14"/>
      <c r="BB3" s="14"/>
      <c r="BC3" s="20">
        <v>35</v>
      </c>
      <c r="BD3" s="21">
        <f>0.258*BC3</f>
        <v>9.0300000000000011</v>
      </c>
      <c r="BE3" s="20"/>
      <c r="BF3" s="20"/>
      <c r="BG3" s="20"/>
      <c r="BH3" s="20"/>
      <c r="BI3" s="20"/>
      <c r="BJ3" s="20"/>
      <c r="BK3" s="20"/>
      <c r="BL3" s="20">
        <v>45</v>
      </c>
      <c r="BM3" s="20"/>
      <c r="BN3" s="20">
        <v>18</v>
      </c>
      <c r="BO3" s="20">
        <v>6</v>
      </c>
      <c r="BP3" s="20"/>
      <c r="BQ3" s="20">
        <v>23</v>
      </c>
      <c r="BR3" s="20">
        <v>12</v>
      </c>
      <c r="BS3" s="20">
        <v>7</v>
      </c>
      <c r="BT3" s="20">
        <v>6</v>
      </c>
      <c r="BU3" s="20">
        <v>3</v>
      </c>
      <c r="BV3" s="20">
        <v>6</v>
      </c>
      <c r="BW3" s="20">
        <v>3</v>
      </c>
      <c r="BX3" s="20"/>
      <c r="BY3" s="20">
        <v>6</v>
      </c>
      <c r="BZ3" s="20"/>
      <c r="CA3" s="20"/>
      <c r="CB3" s="20">
        <v>15</v>
      </c>
      <c r="CC3" s="20">
        <v>0</v>
      </c>
      <c r="CD3" s="20"/>
      <c r="CE3" s="20">
        <v>10</v>
      </c>
      <c r="CF3" s="32">
        <v>10</v>
      </c>
      <c r="CG3" s="20"/>
      <c r="CH3" s="20"/>
      <c r="CI3" s="26">
        <v>0.97</v>
      </c>
      <c r="CJ3" s="26">
        <v>2.4700000000000002</v>
      </c>
      <c r="CK3" s="26">
        <v>0.38</v>
      </c>
      <c r="CL3" s="26"/>
      <c r="CM3" s="26"/>
      <c r="CN3" s="26"/>
      <c r="CO3" s="9" t="s">
        <v>35</v>
      </c>
    </row>
    <row r="4" spans="1:97" s="8" customFormat="1">
      <c r="A4" s="27">
        <v>2</v>
      </c>
      <c r="B4" s="15">
        <v>2</v>
      </c>
      <c r="C4" s="5" t="s">
        <v>26</v>
      </c>
      <c r="D4" s="5" t="s">
        <v>527</v>
      </c>
      <c r="E4" s="5" t="str">
        <f t="shared" ref="E4:E74" si="0">+CONCATENATE(LEFT(D4,FIND(" ",D4,1)),F4)</f>
        <v>Abolghasemi, 2018</v>
      </c>
      <c r="F4" s="7">
        <v>2018</v>
      </c>
      <c r="G4" s="7" t="s">
        <v>27</v>
      </c>
      <c r="H4" s="10" t="s">
        <v>69</v>
      </c>
      <c r="I4" s="10" t="s">
        <v>81</v>
      </c>
      <c r="J4" s="10" t="s">
        <v>38</v>
      </c>
      <c r="K4" s="10" t="s">
        <v>37</v>
      </c>
      <c r="L4" s="6" t="s">
        <v>36</v>
      </c>
      <c r="M4" s="6" t="s">
        <v>675</v>
      </c>
      <c r="N4" s="10" t="s">
        <v>40</v>
      </c>
      <c r="O4" s="10" t="s">
        <v>56</v>
      </c>
      <c r="P4" s="10" t="s">
        <v>56</v>
      </c>
      <c r="Q4" s="7" t="s">
        <v>30</v>
      </c>
      <c r="R4" s="15" t="s">
        <v>32</v>
      </c>
      <c r="S4" s="7" t="s">
        <v>426</v>
      </c>
      <c r="T4" s="15" t="s">
        <v>426</v>
      </c>
      <c r="U4" s="7" t="s">
        <v>767</v>
      </c>
      <c r="V4" s="88">
        <v>30</v>
      </c>
      <c r="W4" s="14">
        <v>16</v>
      </c>
      <c r="X4" s="14">
        <v>13</v>
      </c>
      <c r="Y4" s="14"/>
      <c r="Z4" s="14"/>
      <c r="AA4" s="14">
        <v>10.6</v>
      </c>
      <c r="AB4" s="14">
        <v>8</v>
      </c>
      <c r="AC4" s="14"/>
      <c r="AD4" s="14"/>
      <c r="AE4" s="14"/>
      <c r="AF4" s="14">
        <v>58.06</v>
      </c>
      <c r="AG4" s="14">
        <v>19.690000000000001</v>
      </c>
      <c r="AH4" s="14">
        <v>7</v>
      </c>
      <c r="AI4" s="14"/>
      <c r="AJ4" s="14"/>
      <c r="AK4" s="14"/>
      <c r="AL4" s="14">
        <v>6</v>
      </c>
      <c r="AM4" s="14"/>
      <c r="AN4" s="14">
        <v>3</v>
      </c>
      <c r="AO4" s="14">
        <v>5</v>
      </c>
      <c r="AP4" s="14"/>
      <c r="AQ4" s="14"/>
      <c r="AR4" s="14"/>
      <c r="AS4" s="14">
        <v>2</v>
      </c>
      <c r="AT4" s="14"/>
      <c r="AU4" s="14"/>
      <c r="AV4" s="14"/>
      <c r="AW4" s="14"/>
      <c r="AX4" s="14"/>
      <c r="AY4" s="14"/>
      <c r="AZ4" s="14"/>
      <c r="BA4" s="14"/>
      <c r="BB4" s="14"/>
      <c r="BC4" s="20">
        <v>14</v>
      </c>
      <c r="BD4" s="20">
        <v>1</v>
      </c>
      <c r="BE4" s="20"/>
      <c r="BF4" s="20"/>
      <c r="BG4" s="20">
        <v>2</v>
      </c>
      <c r="BH4" s="20">
        <v>0</v>
      </c>
      <c r="BI4" s="20"/>
      <c r="BJ4" s="20"/>
      <c r="BK4" s="20"/>
      <c r="BL4" s="20">
        <v>54.43</v>
      </c>
      <c r="BM4" s="20">
        <v>16.89</v>
      </c>
      <c r="BN4" s="20">
        <v>5</v>
      </c>
      <c r="BO4" s="20"/>
      <c r="BP4" s="20"/>
      <c r="BQ4" s="20"/>
      <c r="BR4" s="20">
        <v>5</v>
      </c>
      <c r="BS4" s="20"/>
      <c r="BT4" s="20">
        <v>4</v>
      </c>
      <c r="BU4" s="20">
        <v>5</v>
      </c>
      <c r="BV4" s="20"/>
      <c r="BW4" s="20"/>
      <c r="BX4" s="20"/>
      <c r="BY4" s="20">
        <v>4</v>
      </c>
      <c r="BZ4" s="20"/>
      <c r="CA4" s="20"/>
      <c r="CB4" s="20"/>
      <c r="CC4" s="20"/>
      <c r="CD4" s="20"/>
      <c r="CE4" s="20"/>
      <c r="CF4" s="20"/>
      <c r="CG4" s="20"/>
      <c r="CH4" s="20"/>
      <c r="CI4" s="26"/>
      <c r="CJ4" s="26"/>
      <c r="CK4" s="26"/>
      <c r="CL4" s="26"/>
      <c r="CM4" s="26"/>
      <c r="CN4" s="26"/>
      <c r="CO4" s="9" t="s">
        <v>39</v>
      </c>
    </row>
    <row r="5" spans="1:97" s="8" customFormat="1">
      <c r="A5" s="27">
        <v>3</v>
      </c>
      <c r="B5" s="15">
        <v>3</v>
      </c>
      <c r="C5" s="5" t="s">
        <v>47</v>
      </c>
      <c r="D5" s="5" t="s">
        <v>528</v>
      </c>
      <c r="E5" s="5" t="str">
        <f t="shared" si="0"/>
        <v>Akhtar, 2016</v>
      </c>
      <c r="F5" s="7">
        <v>2016</v>
      </c>
      <c r="G5" s="7" t="s">
        <v>48</v>
      </c>
      <c r="H5" s="10" t="s">
        <v>69</v>
      </c>
      <c r="I5" s="10" t="s">
        <v>81</v>
      </c>
      <c r="J5" s="10" t="s">
        <v>49</v>
      </c>
      <c r="K5" s="10" t="s">
        <v>666</v>
      </c>
      <c r="L5" s="6" t="s">
        <v>164</v>
      </c>
      <c r="M5" s="6" t="s">
        <v>164</v>
      </c>
      <c r="N5" s="10" t="s">
        <v>50</v>
      </c>
      <c r="O5" s="10" t="s">
        <v>46</v>
      </c>
      <c r="P5" s="10" t="s">
        <v>59</v>
      </c>
      <c r="Q5" s="7" t="s">
        <v>51</v>
      </c>
      <c r="R5" s="15" t="s">
        <v>52</v>
      </c>
      <c r="S5" s="7" t="s">
        <v>429</v>
      </c>
      <c r="T5" s="15" t="s">
        <v>768</v>
      </c>
      <c r="U5" s="7" t="s">
        <v>769</v>
      </c>
      <c r="V5" s="88">
        <v>111</v>
      </c>
      <c r="W5" s="14">
        <v>46</v>
      </c>
      <c r="X5" s="14">
        <v>29</v>
      </c>
      <c r="Y5" s="14">
        <f>11.4+17.1</f>
        <v>28.5</v>
      </c>
      <c r="Z5" s="14"/>
      <c r="AA5" s="14">
        <v>17.100000000000001</v>
      </c>
      <c r="AB5" s="14">
        <v>23</v>
      </c>
      <c r="AC5" s="14">
        <v>6.6</v>
      </c>
      <c r="AD5" s="14"/>
      <c r="AE5" s="14"/>
      <c r="AF5" s="14">
        <v>20.2</v>
      </c>
      <c r="AG5" s="14">
        <v>19.899999999999999</v>
      </c>
      <c r="AH5" s="14">
        <v>15</v>
      </c>
      <c r="AI5" s="14"/>
      <c r="AJ5" s="14"/>
      <c r="AK5" s="14">
        <v>0</v>
      </c>
      <c r="AL5" s="14"/>
      <c r="AM5" s="14"/>
      <c r="AN5" s="14"/>
      <c r="AO5" s="14">
        <v>12</v>
      </c>
      <c r="AP5" s="14"/>
      <c r="AQ5" s="14"/>
      <c r="AR5" s="14"/>
      <c r="AS5" s="14">
        <v>34</v>
      </c>
      <c r="AT5" s="14">
        <v>11</v>
      </c>
      <c r="AU5" s="14"/>
      <c r="AV5" s="14">
        <v>1</v>
      </c>
      <c r="AW5" s="14">
        <v>0</v>
      </c>
      <c r="AX5" s="14">
        <v>21</v>
      </c>
      <c r="AY5" s="14">
        <v>0</v>
      </c>
      <c r="AZ5" s="14">
        <v>24</v>
      </c>
      <c r="BA5" s="14" t="s">
        <v>391</v>
      </c>
      <c r="BB5" s="14"/>
      <c r="BC5" s="20">
        <v>65</v>
      </c>
      <c r="BD5" s="20">
        <v>28</v>
      </c>
      <c r="BE5" s="20">
        <f>7.8+5.4</f>
        <v>13.2</v>
      </c>
      <c r="BF5" s="20"/>
      <c r="BG5" s="20">
        <v>5.4</v>
      </c>
      <c r="BH5" s="20">
        <v>9</v>
      </c>
      <c r="BI5" s="20">
        <v>1.7</v>
      </c>
      <c r="BJ5" s="20"/>
      <c r="BK5" s="20"/>
      <c r="BL5" s="20">
        <v>25.8</v>
      </c>
      <c r="BM5" s="20">
        <v>23.6</v>
      </c>
      <c r="BN5" s="20">
        <v>16</v>
      </c>
      <c r="BO5" s="20"/>
      <c r="BP5" s="20"/>
      <c r="BQ5" s="20">
        <v>9</v>
      </c>
      <c r="BR5" s="20"/>
      <c r="BS5" s="20"/>
      <c r="BT5" s="20"/>
      <c r="BU5" s="20">
        <v>33</v>
      </c>
      <c r="BV5" s="20"/>
      <c r="BW5" s="20"/>
      <c r="BX5" s="20"/>
      <c r="BY5" s="20">
        <v>32</v>
      </c>
      <c r="BZ5" s="20">
        <v>16</v>
      </c>
      <c r="CA5" s="20"/>
      <c r="CB5" s="20">
        <v>7</v>
      </c>
      <c r="CC5" s="20"/>
      <c r="CD5" s="20">
        <v>9</v>
      </c>
      <c r="CE5" s="20">
        <v>5</v>
      </c>
      <c r="CF5" s="20">
        <v>44</v>
      </c>
      <c r="CG5" s="20" t="s">
        <v>393</v>
      </c>
      <c r="CH5" s="20"/>
      <c r="CI5" s="26"/>
      <c r="CJ5" s="26"/>
      <c r="CK5" s="26"/>
      <c r="CL5" s="26"/>
      <c r="CM5" s="26"/>
      <c r="CN5" s="26"/>
      <c r="CO5" s="9" t="s">
        <v>394</v>
      </c>
    </row>
    <row r="6" spans="1:97" s="8" customFormat="1">
      <c r="A6" s="27">
        <v>4</v>
      </c>
      <c r="B6" s="15">
        <v>4</v>
      </c>
      <c r="C6" s="5" t="s">
        <v>968</v>
      </c>
      <c r="D6" s="5" t="s">
        <v>1064</v>
      </c>
      <c r="E6" s="5" t="str">
        <f t="shared" si="0"/>
        <v>Anggraini, 2022</v>
      </c>
      <c r="F6" s="7">
        <v>2022</v>
      </c>
      <c r="G6" s="7" t="s">
        <v>969</v>
      </c>
      <c r="H6" s="10" t="s">
        <v>69</v>
      </c>
      <c r="I6" s="10" t="s">
        <v>82</v>
      </c>
      <c r="J6" s="10" t="s">
        <v>992</v>
      </c>
      <c r="K6" s="10" t="s">
        <v>993</v>
      </c>
      <c r="L6" s="6" t="s">
        <v>36</v>
      </c>
      <c r="M6" s="6" t="s">
        <v>675</v>
      </c>
      <c r="N6" s="10"/>
      <c r="O6" s="10" t="s">
        <v>45</v>
      </c>
      <c r="P6" s="10" t="s">
        <v>41</v>
      </c>
      <c r="Q6" s="7" t="s">
        <v>30</v>
      </c>
      <c r="R6" s="15" t="s">
        <v>32</v>
      </c>
      <c r="S6" s="7" t="s">
        <v>429</v>
      </c>
      <c r="T6" s="15" t="s">
        <v>781</v>
      </c>
      <c r="U6" s="7" t="s">
        <v>782</v>
      </c>
      <c r="V6" s="88">
        <f>72+72</f>
        <v>144</v>
      </c>
      <c r="W6" s="14">
        <v>72</v>
      </c>
      <c r="X6" s="14">
        <v>41</v>
      </c>
      <c r="Y6" s="14">
        <v>17</v>
      </c>
      <c r="Z6" s="14"/>
      <c r="AA6" s="14">
        <v>6</v>
      </c>
      <c r="AB6" s="14">
        <v>60</v>
      </c>
      <c r="AC6" s="14"/>
      <c r="AD6" s="14"/>
      <c r="AE6" s="14"/>
      <c r="AF6" s="14">
        <v>41</v>
      </c>
      <c r="AG6" s="14"/>
      <c r="AH6" s="14">
        <v>33</v>
      </c>
      <c r="AI6" s="14">
        <v>34</v>
      </c>
      <c r="AJ6" s="14">
        <v>34</v>
      </c>
      <c r="AK6" s="14">
        <v>19</v>
      </c>
      <c r="AL6" s="14">
        <v>19</v>
      </c>
      <c r="AM6" s="14">
        <v>19</v>
      </c>
      <c r="AN6" s="14">
        <v>8</v>
      </c>
      <c r="AO6" s="14"/>
      <c r="AP6" s="14"/>
      <c r="AQ6" s="14"/>
      <c r="AR6" s="14"/>
      <c r="AS6" s="14"/>
      <c r="AT6" s="14"/>
      <c r="AU6" s="14">
        <v>2</v>
      </c>
      <c r="AV6" s="14"/>
      <c r="AW6" s="14">
        <v>53</v>
      </c>
      <c r="AX6" s="14">
        <v>19</v>
      </c>
      <c r="AY6" s="14"/>
      <c r="AZ6" s="14"/>
      <c r="BA6" s="14"/>
      <c r="BB6" s="14">
        <v>1</v>
      </c>
      <c r="BC6" s="20">
        <v>72</v>
      </c>
      <c r="BD6" s="20">
        <v>35</v>
      </c>
      <c r="BE6" s="20">
        <v>13</v>
      </c>
      <c r="BF6" s="20"/>
      <c r="BG6" s="20">
        <v>6</v>
      </c>
      <c r="BH6" s="20">
        <v>49</v>
      </c>
      <c r="BI6" s="20"/>
      <c r="BJ6" s="20"/>
      <c r="BK6" s="20"/>
      <c r="BL6" s="20">
        <v>40</v>
      </c>
      <c r="BM6" s="20"/>
      <c r="BN6" s="20">
        <v>25</v>
      </c>
      <c r="BO6" s="20">
        <v>36</v>
      </c>
      <c r="BP6" s="20">
        <v>37</v>
      </c>
      <c r="BQ6" s="20">
        <v>15</v>
      </c>
      <c r="BR6" s="20"/>
      <c r="BS6" s="20">
        <v>12</v>
      </c>
      <c r="BT6" s="20">
        <v>9</v>
      </c>
      <c r="BU6" s="20"/>
      <c r="BV6" s="20"/>
      <c r="BW6" s="20"/>
      <c r="BX6" s="20"/>
      <c r="BY6" s="20"/>
      <c r="BZ6" s="20"/>
      <c r="CA6" s="20">
        <v>2</v>
      </c>
      <c r="CB6" s="20"/>
      <c r="CC6" s="20">
        <v>32</v>
      </c>
      <c r="CD6" s="20">
        <v>40</v>
      </c>
      <c r="CE6" s="20"/>
      <c r="CF6" s="20"/>
      <c r="CG6" s="20"/>
      <c r="CH6" s="20">
        <v>1</v>
      </c>
      <c r="CI6" s="26"/>
      <c r="CJ6" s="26"/>
      <c r="CK6" s="26"/>
      <c r="CL6" s="26"/>
      <c r="CM6" s="26"/>
      <c r="CN6" s="26"/>
      <c r="CO6" s="9"/>
    </row>
    <row r="7" spans="1:97" s="8" customFormat="1">
      <c r="A7" s="27">
        <v>5</v>
      </c>
      <c r="B7" s="15">
        <v>5</v>
      </c>
      <c r="C7" s="5" t="s">
        <v>53</v>
      </c>
      <c r="D7" s="5" t="s">
        <v>529</v>
      </c>
      <c r="E7" s="5" t="str">
        <f t="shared" si="0"/>
        <v>Anunnatsiri, 2011</v>
      </c>
      <c r="F7" s="7">
        <v>2011</v>
      </c>
      <c r="G7" s="7" t="s">
        <v>54</v>
      </c>
      <c r="H7" s="10" t="s">
        <v>68</v>
      </c>
      <c r="I7" s="10" t="s">
        <v>82</v>
      </c>
      <c r="J7" s="10" t="s">
        <v>55</v>
      </c>
      <c r="K7" s="7" t="s">
        <v>57</v>
      </c>
      <c r="L7" s="6" t="s">
        <v>36</v>
      </c>
      <c r="M7" s="6" t="s">
        <v>675</v>
      </c>
      <c r="N7" s="10" t="s">
        <v>58</v>
      </c>
      <c r="O7" s="10" t="s">
        <v>56</v>
      </c>
      <c r="P7" s="10" t="s">
        <v>56</v>
      </c>
      <c r="Q7" s="7" t="s">
        <v>30</v>
      </c>
      <c r="R7" s="15" t="s">
        <v>32</v>
      </c>
      <c r="S7" s="7" t="s">
        <v>434</v>
      </c>
      <c r="T7" s="15" t="s">
        <v>434</v>
      </c>
      <c r="U7" s="7" t="s">
        <v>770</v>
      </c>
      <c r="V7" s="88">
        <v>49</v>
      </c>
      <c r="W7" s="14">
        <v>24</v>
      </c>
      <c r="X7" s="14">
        <v>22</v>
      </c>
      <c r="Y7" s="14">
        <v>21.5</v>
      </c>
      <c r="Z7" s="14"/>
      <c r="AA7" s="14">
        <v>15.5</v>
      </c>
      <c r="AB7" s="14">
        <v>9</v>
      </c>
      <c r="AC7" s="14"/>
      <c r="AD7" s="14"/>
      <c r="AE7" s="14"/>
      <c r="AF7" s="14">
        <v>59.4</v>
      </c>
      <c r="AG7" s="14">
        <v>16.8</v>
      </c>
      <c r="AH7" s="14">
        <f>W7-16</f>
        <v>8</v>
      </c>
      <c r="AI7" s="14">
        <v>8</v>
      </c>
      <c r="AJ7" s="14"/>
      <c r="AK7" s="14">
        <v>0</v>
      </c>
      <c r="AL7" s="14">
        <v>4</v>
      </c>
      <c r="AM7" s="14"/>
      <c r="AN7" s="14">
        <v>3</v>
      </c>
      <c r="AO7" s="14"/>
      <c r="AP7" s="14">
        <v>1</v>
      </c>
      <c r="AQ7" s="14">
        <v>8</v>
      </c>
      <c r="AR7" s="14">
        <v>3</v>
      </c>
      <c r="AS7" s="14"/>
      <c r="AT7" s="14"/>
      <c r="AU7" s="14"/>
      <c r="AV7" s="14"/>
      <c r="AW7" s="14"/>
      <c r="AX7" s="14"/>
      <c r="AY7" s="14"/>
      <c r="AZ7" s="14"/>
      <c r="BA7" s="14">
        <v>24</v>
      </c>
      <c r="BB7" s="14"/>
      <c r="BC7" s="20">
        <v>25</v>
      </c>
      <c r="BD7" s="20">
        <v>12</v>
      </c>
      <c r="BE7" s="20">
        <v>14</v>
      </c>
      <c r="BF7" s="20"/>
      <c r="BG7" s="20">
        <v>3</v>
      </c>
      <c r="BH7" s="20">
        <v>3</v>
      </c>
      <c r="BI7" s="20"/>
      <c r="BJ7" s="20"/>
      <c r="BK7" s="20"/>
      <c r="BL7" s="20">
        <v>56.9</v>
      </c>
      <c r="BM7" s="20">
        <v>17.5</v>
      </c>
      <c r="BN7" s="20">
        <f>BC7-12</f>
        <v>13</v>
      </c>
      <c r="BO7" s="20">
        <v>5</v>
      </c>
      <c r="BP7" s="20"/>
      <c r="BQ7" s="20">
        <v>6</v>
      </c>
      <c r="BR7" s="20">
        <v>4</v>
      </c>
      <c r="BS7" s="20"/>
      <c r="BT7" s="20">
        <v>4</v>
      </c>
      <c r="BU7" s="20"/>
      <c r="BV7" s="20">
        <v>2</v>
      </c>
      <c r="BW7" s="20">
        <v>2</v>
      </c>
      <c r="BX7" s="20">
        <v>1</v>
      </c>
      <c r="BY7" s="20"/>
      <c r="BZ7" s="20"/>
      <c r="CA7" s="20"/>
      <c r="CB7" s="20"/>
      <c r="CC7" s="20"/>
      <c r="CD7" s="20"/>
      <c r="CE7" s="20"/>
      <c r="CF7" s="20"/>
      <c r="CG7" s="20">
        <v>17</v>
      </c>
      <c r="CH7" s="20"/>
      <c r="CI7" s="26"/>
      <c r="CJ7" s="26"/>
      <c r="CK7" s="26"/>
      <c r="CL7" s="26">
        <v>11.92</v>
      </c>
      <c r="CM7" s="26">
        <v>61.83</v>
      </c>
      <c r="CN7" s="26">
        <v>2.2999999999999998</v>
      </c>
      <c r="CO7" s="9"/>
    </row>
    <row r="8" spans="1:97" s="8" customFormat="1">
      <c r="A8" s="27">
        <v>6</v>
      </c>
      <c r="B8" s="15">
        <v>6</v>
      </c>
      <c r="C8" s="5" t="s">
        <v>60</v>
      </c>
      <c r="D8" s="5" t="s">
        <v>61</v>
      </c>
      <c r="E8" s="5" t="str">
        <f t="shared" si="0"/>
        <v>Arias-Ortiz, 2016</v>
      </c>
      <c r="F8" s="7">
        <v>2016</v>
      </c>
      <c r="G8" s="7" t="s">
        <v>65</v>
      </c>
      <c r="H8" s="10" t="s">
        <v>68</v>
      </c>
      <c r="I8" s="10" t="s">
        <v>80</v>
      </c>
      <c r="J8" s="10" t="s">
        <v>64</v>
      </c>
      <c r="K8" s="10" t="s">
        <v>66</v>
      </c>
      <c r="L8" s="10" t="s">
        <v>62</v>
      </c>
      <c r="M8" s="10" t="s">
        <v>643</v>
      </c>
      <c r="N8" s="10" t="s">
        <v>63</v>
      </c>
      <c r="O8" s="10" t="s">
        <v>42</v>
      </c>
      <c r="P8" s="10" t="s">
        <v>41</v>
      </c>
      <c r="Q8" s="7" t="s">
        <v>51</v>
      </c>
      <c r="R8" s="15" t="s">
        <v>52</v>
      </c>
      <c r="S8" s="7" t="s">
        <v>429</v>
      </c>
      <c r="T8" s="15" t="s">
        <v>771</v>
      </c>
      <c r="U8" s="7" t="s">
        <v>772</v>
      </c>
      <c r="V8" s="88">
        <v>372</v>
      </c>
      <c r="W8" s="14">
        <v>186</v>
      </c>
      <c r="X8" s="14"/>
      <c r="Y8" s="14"/>
      <c r="Z8" s="14"/>
      <c r="AA8" s="14"/>
      <c r="AB8" s="14">
        <v>105</v>
      </c>
      <c r="AC8" s="14"/>
      <c r="AD8" s="14"/>
      <c r="AE8" s="14"/>
      <c r="AF8" s="14">
        <v>58</v>
      </c>
      <c r="AG8" s="14">
        <v>19.260000000000002</v>
      </c>
      <c r="AH8" s="14">
        <v>70</v>
      </c>
      <c r="AI8" s="14">
        <v>125</v>
      </c>
      <c r="AJ8" s="14">
        <v>105</v>
      </c>
      <c r="AK8" s="14">
        <v>13</v>
      </c>
      <c r="AL8" s="14">
        <v>40</v>
      </c>
      <c r="AM8" s="14"/>
      <c r="AN8" s="14">
        <v>20</v>
      </c>
      <c r="AO8" s="14"/>
      <c r="AP8" s="14"/>
      <c r="AQ8" s="14">
        <v>31</v>
      </c>
      <c r="AR8" s="14">
        <v>31</v>
      </c>
      <c r="AS8" s="14"/>
      <c r="AT8" s="14"/>
      <c r="AU8" s="14"/>
      <c r="AV8" s="14"/>
      <c r="AW8" s="14">
        <v>24</v>
      </c>
      <c r="AX8" s="14">
        <v>73</v>
      </c>
      <c r="AY8" s="14">
        <v>18</v>
      </c>
      <c r="AZ8" s="14">
        <f>186-AY8-AX8-AW8</f>
        <v>71</v>
      </c>
      <c r="BA8" s="14"/>
      <c r="BB8" s="14"/>
      <c r="BC8" s="20">
        <v>186</v>
      </c>
      <c r="BD8" s="20"/>
      <c r="BE8" s="20"/>
      <c r="BF8" s="20"/>
      <c r="BG8" s="20"/>
      <c r="BH8" s="20">
        <v>89</v>
      </c>
      <c r="BI8" s="20"/>
      <c r="BJ8" s="20"/>
      <c r="BK8" s="20"/>
      <c r="BL8" s="20">
        <v>58</v>
      </c>
      <c r="BM8" s="20">
        <v>19.66</v>
      </c>
      <c r="BN8" s="20">
        <v>81</v>
      </c>
      <c r="BO8" s="20">
        <v>73</v>
      </c>
      <c r="BP8" s="20">
        <v>88</v>
      </c>
      <c r="BQ8" s="20">
        <v>36</v>
      </c>
      <c r="BR8" s="20">
        <v>32</v>
      </c>
      <c r="BS8" s="20"/>
      <c r="BT8" s="20">
        <v>26</v>
      </c>
      <c r="BU8" s="20"/>
      <c r="BV8" s="20"/>
      <c r="BW8" s="20">
        <v>28</v>
      </c>
      <c r="BX8" s="20">
        <v>37</v>
      </c>
      <c r="BY8" s="20"/>
      <c r="BZ8" s="20"/>
      <c r="CA8" s="20"/>
      <c r="CB8" s="20"/>
      <c r="CC8" s="20">
        <v>32</v>
      </c>
      <c r="CD8" s="20">
        <v>74</v>
      </c>
      <c r="CE8" s="20">
        <v>17</v>
      </c>
      <c r="CF8" s="20">
        <f>186-CE8-CD8-CC8</f>
        <v>63</v>
      </c>
      <c r="CG8" s="20"/>
      <c r="CH8" s="20"/>
      <c r="CI8" s="26"/>
      <c r="CJ8" s="26"/>
      <c r="CK8" s="26"/>
      <c r="CL8" s="26"/>
      <c r="CM8" s="26"/>
      <c r="CN8" s="26"/>
      <c r="CO8" s="9"/>
    </row>
    <row r="9" spans="1:97" s="8" customFormat="1">
      <c r="A9" s="27">
        <v>7</v>
      </c>
      <c r="B9" s="15">
        <v>7</v>
      </c>
      <c r="C9" s="5" t="s">
        <v>70</v>
      </c>
      <c r="D9" s="5" t="s">
        <v>71</v>
      </c>
      <c r="E9" s="5" t="str">
        <f t="shared" si="0"/>
        <v>Atmaca, 2014</v>
      </c>
      <c r="F9" s="7">
        <v>2014</v>
      </c>
      <c r="G9" s="7" t="s">
        <v>73</v>
      </c>
      <c r="H9" s="10" t="s">
        <v>68</v>
      </c>
      <c r="I9" s="10" t="s">
        <v>83</v>
      </c>
      <c r="J9" s="10" t="s">
        <v>72</v>
      </c>
      <c r="K9" s="10" t="s">
        <v>38</v>
      </c>
      <c r="L9" s="10" t="s">
        <v>62</v>
      </c>
      <c r="M9" s="10" t="s">
        <v>643</v>
      </c>
      <c r="N9" s="10" t="s">
        <v>63</v>
      </c>
      <c r="O9" s="10" t="s">
        <v>42</v>
      </c>
      <c r="P9" s="10" t="s">
        <v>41</v>
      </c>
      <c r="Q9" s="7" t="s">
        <v>51</v>
      </c>
      <c r="R9" s="15" t="s">
        <v>52</v>
      </c>
      <c r="S9" s="7" t="s">
        <v>429</v>
      </c>
      <c r="T9" s="15" t="s">
        <v>771</v>
      </c>
      <c r="U9" s="7" t="s">
        <v>772</v>
      </c>
      <c r="V9" s="88">
        <f>99*2</f>
        <v>198</v>
      </c>
      <c r="W9" s="14">
        <v>99</v>
      </c>
      <c r="X9" s="14"/>
      <c r="Y9" s="14">
        <v>70.84</v>
      </c>
      <c r="Z9" s="14">
        <v>65.78</v>
      </c>
      <c r="AA9" s="14"/>
      <c r="AB9" s="14">
        <v>25</v>
      </c>
      <c r="AC9" s="14"/>
      <c r="AD9" s="14"/>
      <c r="AE9" s="14"/>
      <c r="AF9" s="14">
        <v>59.37</v>
      </c>
      <c r="AG9" s="14">
        <v>16.96</v>
      </c>
      <c r="AH9" s="14"/>
      <c r="AI9" s="14">
        <v>38</v>
      </c>
      <c r="AJ9" s="14">
        <v>48</v>
      </c>
      <c r="AK9" s="14"/>
      <c r="AL9" s="14">
        <v>29</v>
      </c>
      <c r="AM9" s="14"/>
      <c r="AN9" s="14">
        <v>36</v>
      </c>
      <c r="AO9" s="14"/>
      <c r="AP9" s="14"/>
      <c r="AQ9" s="14"/>
      <c r="AR9" s="14"/>
      <c r="AS9" s="14"/>
      <c r="AT9" s="14"/>
      <c r="AU9" s="14"/>
      <c r="AV9" s="14"/>
      <c r="AW9" s="14"/>
      <c r="AX9" s="14"/>
      <c r="AY9" s="14"/>
      <c r="AZ9" s="14"/>
      <c r="BA9" s="14"/>
      <c r="BB9" s="14"/>
      <c r="BC9" s="20">
        <v>99</v>
      </c>
      <c r="BD9" s="20"/>
      <c r="BE9" s="20">
        <v>14</v>
      </c>
      <c r="BF9" s="20">
        <v>16</v>
      </c>
      <c r="BG9" s="20"/>
      <c r="BH9" s="20">
        <v>6</v>
      </c>
      <c r="BI9" s="20"/>
      <c r="BJ9" s="20"/>
      <c r="BK9" s="20"/>
      <c r="BL9" s="20">
        <v>59.11</v>
      </c>
      <c r="BM9" s="20">
        <v>17.600000000000001</v>
      </c>
      <c r="BN9" s="20"/>
      <c r="BO9" s="20">
        <v>24</v>
      </c>
      <c r="BP9" s="20">
        <v>31</v>
      </c>
      <c r="BQ9" s="20"/>
      <c r="BR9" s="20">
        <v>25</v>
      </c>
      <c r="BS9" s="20"/>
      <c r="BT9" s="20">
        <v>18</v>
      </c>
      <c r="BU9" s="20"/>
      <c r="BV9" s="20"/>
      <c r="BW9" s="20"/>
      <c r="BX9" s="20"/>
      <c r="BY9" s="20"/>
      <c r="BZ9" s="20"/>
      <c r="CA9" s="20"/>
      <c r="CB9" s="20"/>
      <c r="CC9" s="20"/>
      <c r="CD9" s="20"/>
      <c r="CE9" s="20"/>
      <c r="CF9" s="20"/>
      <c r="CG9" s="20"/>
      <c r="CH9" s="20"/>
      <c r="CI9" s="26"/>
      <c r="CJ9" s="26"/>
      <c r="CK9" s="26"/>
      <c r="CL9" s="26"/>
      <c r="CM9" s="26"/>
      <c r="CN9" s="26"/>
      <c r="CO9" s="9"/>
    </row>
    <row r="10" spans="1:97" s="8" customFormat="1">
      <c r="A10" s="27">
        <v>8</v>
      </c>
      <c r="B10" s="15">
        <v>8</v>
      </c>
      <c r="C10" s="5" t="s">
        <v>74</v>
      </c>
      <c r="D10" s="5" t="s">
        <v>121</v>
      </c>
      <c r="E10" s="5" t="str">
        <f t="shared" si="0"/>
        <v>Barrero, 2014</v>
      </c>
      <c r="F10" s="7">
        <v>2014</v>
      </c>
      <c r="G10" s="7" t="s">
        <v>65</v>
      </c>
      <c r="H10" s="10" t="s">
        <v>68</v>
      </c>
      <c r="I10" s="10" t="s">
        <v>80</v>
      </c>
      <c r="J10" s="10" t="s">
        <v>86</v>
      </c>
      <c r="K10" s="10" t="s">
        <v>401</v>
      </c>
      <c r="L10" s="10" t="s">
        <v>62</v>
      </c>
      <c r="M10" s="10" t="s">
        <v>643</v>
      </c>
      <c r="N10" s="10" t="s">
        <v>63</v>
      </c>
      <c r="O10" s="10" t="s">
        <v>42</v>
      </c>
      <c r="P10" s="10" t="s">
        <v>41</v>
      </c>
      <c r="Q10" s="7" t="s">
        <v>51</v>
      </c>
      <c r="R10" s="15" t="s">
        <v>52</v>
      </c>
      <c r="S10" s="7" t="s">
        <v>429</v>
      </c>
      <c r="T10" s="15" t="s">
        <v>771</v>
      </c>
      <c r="U10" s="7" t="s">
        <v>772</v>
      </c>
      <c r="V10" s="88">
        <v>204</v>
      </c>
      <c r="W10" s="14">
        <v>102</v>
      </c>
      <c r="X10" s="14">
        <v>62</v>
      </c>
      <c r="Y10" s="14">
        <v>30</v>
      </c>
      <c r="Z10" s="14">
        <v>33</v>
      </c>
      <c r="AA10" s="14">
        <v>11</v>
      </c>
      <c r="AB10" s="14">
        <v>64</v>
      </c>
      <c r="AC10" s="14"/>
      <c r="AD10" s="55">
        <v>52243.39</v>
      </c>
      <c r="AE10" s="55">
        <v>61193.35</v>
      </c>
      <c r="AF10" s="14">
        <v>63</v>
      </c>
      <c r="AG10" s="14">
        <v>32</v>
      </c>
      <c r="AH10" s="14">
        <f>102-68</f>
        <v>34</v>
      </c>
      <c r="AI10" s="14">
        <v>67</v>
      </c>
      <c r="AJ10" s="14">
        <v>50</v>
      </c>
      <c r="AK10" s="14">
        <v>18</v>
      </c>
      <c r="AL10" s="14"/>
      <c r="AM10" s="14"/>
      <c r="AN10" s="14"/>
      <c r="AO10" s="14"/>
      <c r="AP10" s="14"/>
      <c r="AQ10" s="14"/>
      <c r="AR10" s="14"/>
      <c r="AS10" s="14"/>
      <c r="AT10" s="14"/>
      <c r="AU10" s="14"/>
      <c r="AV10" s="14"/>
      <c r="AW10" s="14">
        <v>12</v>
      </c>
      <c r="AX10" s="14">
        <v>39</v>
      </c>
      <c r="AY10" s="14">
        <v>3</v>
      </c>
      <c r="AZ10" s="14">
        <f>11+37</f>
        <v>48</v>
      </c>
      <c r="BA10" s="14"/>
      <c r="BB10" s="14">
        <v>4</v>
      </c>
      <c r="BC10" s="20">
        <v>102</v>
      </c>
      <c r="BD10" s="20">
        <v>46</v>
      </c>
      <c r="BE10" s="20">
        <v>21</v>
      </c>
      <c r="BF10" s="20">
        <v>23</v>
      </c>
      <c r="BG10" s="20">
        <v>4</v>
      </c>
      <c r="BH10" s="20">
        <v>54</v>
      </c>
      <c r="BI10" s="20"/>
      <c r="BJ10" s="36" t="s">
        <v>400</v>
      </c>
      <c r="BK10" s="36" t="s">
        <v>399</v>
      </c>
      <c r="BL10" s="20">
        <v>58</v>
      </c>
      <c r="BM10" s="20">
        <v>32</v>
      </c>
      <c r="BN10" s="20">
        <f>102-61</f>
        <v>41</v>
      </c>
      <c r="BO10" s="20">
        <v>51</v>
      </c>
      <c r="BP10" s="20">
        <v>50</v>
      </c>
      <c r="BQ10" s="20">
        <v>20</v>
      </c>
      <c r="BR10" s="20"/>
      <c r="BS10" s="20"/>
      <c r="BT10" s="20"/>
      <c r="BU10" s="20"/>
      <c r="BV10" s="20"/>
      <c r="BW10" s="20"/>
      <c r="BX10" s="20"/>
      <c r="BY10" s="20"/>
      <c r="BZ10" s="20"/>
      <c r="CA10" s="20"/>
      <c r="CB10" s="20"/>
      <c r="CC10" s="20">
        <v>18</v>
      </c>
      <c r="CD10" s="20">
        <v>31</v>
      </c>
      <c r="CE10" s="20">
        <v>8</v>
      </c>
      <c r="CF10" s="20">
        <f>32+13</f>
        <v>45</v>
      </c>
      <c r="CG10" s="20"/>
      <c r="CH10" s="20">
        <v>4</v>
      </c>
      <c r="CI10" s="26"/>
      <c r="CJ10" s="26"/>
      <c r="CK10" s="26"/>
      <c r="CL10" s="26"/>
      <c r="CM10" s="26"/>
      <c r="CN10" s="26"/>
      <c r="CO10" s="9" t="s">
        <v>183</v>
      </c>
    </row>
    <row r="11" spans="1:97" s="8" customFormat="1">
      <c r="A11" s="27">
        <v>9</v>
      </c>
      <c r="B11" s="130" t="s">
        <v>994</v>
      </c>
      <c r="C11" s="5" t="s">
        <v>76</v>
      </c>
      <c r="D11" s="5" t="s">
        <v>77</v>
      </c>
      <c r="E11" s="5" t="str">
        <f t="shared" si="0"/>
        <v>Braga, 2013</v>
      </c>
      <c r="F11" s="7">
        <v>2013</v>
      </c>
      <c r="G11" s="7" t="s">
        <v>78</v>
      </c>
      <c r="H11" s="10" t="s">
        <v>68</v>
      </c>
      <c r="I11" s="10" t="s">
        <v>80</v>
      </c>
      <c r="J11" s="10" t="s">
        <v>402</v>
      </c>
      <c r="K11" s="10" t="s">
        <v>403</v>
      </c>
      <c r="L11" s="10" t="s">
        <v>62</v>
      </c>
      <c r="M11" s="10" t="s">
        <v>643</v>
      </c>
      <c r="N11" s="10" t="s">
        <v>63</v>
      </c>
      <c r="O11" s="10" t="s">
        <v>56</v>
      </c>
      <c r="P11" s="10" t="s">
        <v>41</v>
      </c>
      <c r="Q11" s="7" t="s">
        <v>51</v>
      </c>
      <c r="R11" s="15" t="s">
        <v>52</v>
      </c>
      <c r="S11" s="7" t="s">
        <v>429</v>
      </c>
      <c r="T11" s="15" t="s">
        <v>771</v>
      </c>
      <c r="U11" s="7" t="s">
        <v>772</v>
      </c>
      <c r="V11" s="88">
        <f>27+29</f>
        <v>56</v>
      </c>
      <c r="W11" s="14">
        <v>12</v>
      </c>
      <c r="X11" s="14">
        <v>7</v>
      </c>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20">
        <f>+V11-W11</f>
        <v>44</v>
      </c>
      <c r="BD11" s="20">
        <f>32-X11</f>
        <v>25</v>
      </c>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6"/>
      <c r="CJ11" s="26"/>
      <c r="CK11" s="26"/>
      <c r="CL11" s="26"/>
      <c r="CM11" s="26"/>
      <c r="CN11" s="26"/>
      <c r="CO11" s="9" t="s">
        <v>184</v>
      </c>
    </row>
    <row r="12" spans="1:97" s="8" customFormat="1">
      <c r="A12" s="27">
        <v>9</v>
      </c>
      <c r="B12" s="130" t="s">
        <v>995</v>
      </c>
      <c r="C12" s="5" t="s">
        <v>76</v>
      </c>
      <c r="D12" s="5" t="s">
        <v>77</v>
      </c>
      <c r="E12" s="5" t="str">
        <f t="shared" si="0"/>
        <v>Braga, 2013</v>
      </c>
      <c r="F12" s="7">
        <v>2013</v>
      </c>
      <c r="G12" s="7" t="s">
        <v>78</v>
      </c>
      <c r="H12" s="10" t="s">
        <v>68</v>
      </c>
      <c r="I12" s="10" t="s">
        <v>80</v>
      </c>
      <c r="J12" s="10" t="s">
        <v>402</v>
      </c>
      <c r="K12" s="10" t="s">
        <v>403</v>
      </c>
      <c r="L12" s="10" t="s">
        <v>107</v>
      </c>
      <c r="M12" s="10" t="s">
        <v>642</v>
      </c>
      <c r="N12" s="10"/>
      <c r="O12" s="10" t="s">
        <v>45</v>
      </c>
      <c r="P12" s="10" t="s">
        <v>41</v>
      </c>
      <c r="Q12" s="7" t="s">
        <v>30</v>
      </c>
      <c r="R12" s="15" t="s">
        <v>32</v>
      </c>
      <c r="S12" s="7" t="s">
        <v>429</v>
      </c>
      <c r="T12" s="15" t="s">
        <v>777</v>
      </c>
      <c r="U12" s="7" t="s">
        <v>778</v>
      </c>
      <c r="V12" s="88">
        <f>27+29</f>
        <v>56</v>
      </c>
      <c r="W12" s="14">
        <v>14</v>
      </c>
      <c r="X12" s="14">
        <v>13</v>
      </c>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20">
        <f t="shared" ref="BC12:BC14" si="1">+V12-W12</f>
        <v>42</v>
      </c>
      <c r="BD12" s="20">
        <f t="shared" ref="BD12:BD14" si="2">32-X12</f>
        <v>19</v>
      </c>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6"/>
      <c r="CJ12" s="26"/>
      <c r="CK12" s="26"/>
      <c r="CL12" s="26"/>
      <c r="CM12" s="26"/>
      <c r="CN12" s="26"/>
      <c r="CO12" s="9"/>
    </row>
    <row r="13" spans="1:97" s="8" customFormat="1">
      <c r="A13" s="27">
        <v>9</v>
      </c>
      <c r="B13" s="130" t="s">
        <v>996</v>
      </c>
      <c r="C13" s="5" t="s">
        <v>76</v>
      </c>
      <c r="D13" s="5" t="s">
        <v>77</v>
      </c>
      <c r="E13" s="5" t="str">
        <f t="shared" si="0"/>
        <v>Braga, 2013</v>
      </c>
      <c r="F13" s="7">
        <v>2013</v>
      </c>
      <c r="G13" s="7" t="s">
        <v>78</v>
      </c>
      <c r="H13" s="10" t="s">
        <v>68</v>
      </c>
      <c r="I13" s="10" t="s">
        <v>80</v>
      </c>
      <c r="J13" s="10" t="s">
        <v>402</v>
      </c>
      <c r="K13" s="10" t="s">
        <v>403</v>
      </c>
      <c r="L13" s="10" t="s">
        <v>533</v>
      </c>
      <c r="M13" s="10" t="s">
        <v>176</v>
      </c>
      <c r="N13" s="10"/>
      <c r="O13" s="10" t="s">
        <v>43</v>
      </c>
      <c r="P13" s="10" t="s">
        <v>41</v>
      </c>
      <c r="Q13" s="7" t="s">
        <v>30</v>
      </c>
      <c r="R13" s="15" t="s">
        <v>32</v>
      </c>
      <c r="S13" s="7" t="s">
        <v>429</v>
      </c>
      <c r="T13" s="15" t="s">
        <v>773</v>
      </c>
      <c r="U13" s="7" t="s">
        <v>774</v>
      </c>
      <c r="V13" s="88">
        <f>27+29</f>
        <v>56</v>
      </c>
      <c r="W13" s="14">
        <v>3</v>
      </c>
      <c r="X13" s="14">
        <v>2</v>
      </c>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20">
        <f t="shared" si="1"/>
        <v>53</v>
      </c>
      <c r="BD13" s="20">
        <f t="shared" si="2"/>
        <v>30</v>
      </c>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6"/>
      <c r="CJ13" s="26"/>
      <c r="CK13" s="26"/>
      <c r="CL13" s="26"/>
      <c r="CM13" s="26"/>
      <c r="CN13" s="26"/>
      <c r="CO13" s="9"/>
    </row>
    <row r="14" spans="1:97" s="8" customFormat="1">
      <c r="A14" s="27">
        <v>9</v>
      </c>
      <c r="B14" s="130" t="s">
        <v>997</v>
      </c>
      <c r="C14" s="5" t="s">
        <v>76</v>
      </c>
      <c r="D14" s="5" t="s">
        <v>77</v>
      </c>
      <c r="E14" s="5" t="str">
        <f t="shared" si="0"/>
        <v>Braga, 2013</v>
      </c>
      <c r="F14" s="7">
        <v>2013</v>
      </c>
      <c r="G14" s="7" t="s">
        <v>78</v>
      </c>
      <c r="H14" s="10" t="s">
        <v>68</v>
      </c>
      <c r="I14" s="10" t="s">
        <v>80</v>
      </c>
      <c r="J14" s="10" t="s">
        <v>402</v>
      </c>
      <c r="K14" s="10" t="s">
        <v>403</v>
      </c>
      <c r="L14" s="10" t="s">
        <v>97</v>
      </c>
      <c r="M14" s="10" t="s">
        <v>176</v>
      </c>
      <c r="N14" s="10"/>
      <c r="O14" s="10" t="s">
        <v>43</v>
      </c>
      <c r="P14" s="10" t="s">
        <v>41</v>
      </c>
      <c r="Q14" s="7" t="s">
        <v>30</v>
      </c>
      <c r="R14" s="15" t="s">
        <v>32</v>
      </c>
      <c r="S14" s="7" t="s">
        <v>429</v>
      </c>
      <c r="T14" s="15" t="s">
        <v>775</v>
      </c>
      <c r="U14" s="7" t="s">
        <v>776</v>
      </c>
      <c r="V14" s="88">
        <f>27+29</f>
        <v>56</v>
      </c>
      <c r="W14" s="14">
        <v>5</v>
      </c>
      <c r="X14" s="14">
        <v>4</v>
      </c>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20">
        <f t="shared" si="1"/>
        <v>51</v>
      </c>
      <c r="BD14" s="20">
        <f t="shared" si="2"/>
        <v>28</v>
      </c>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6"/>
      <c r="CJ14" s="26"/>
      <c r="CK14" s="26"/>
      <c r="CL14" s="26"/>
      <c r="CM14" s="26"/>
      <c r="CN14" s="26"/>
      <c r="CO14" s="9"/>
    </row>
    <row r="15" spans="1:97" s="8" customFormat="1">
      <c r="A15" s="27">
        <v>10</v>
      </c>
      <c r="B15" s="15">
        <v>10</v>
      </c>
      <c r="C15" s="5" t="s">
        <v>84</v>
      </c>
      <c r="D15" s="5" t="s">
        <v>85</v>
      </c>
      <c r="E15" s="5" t="str">
        <f t="shared" si="0"/>
        <v>Castillo 2012</v>
      </c>
      <c r="F15" s="7">
        <v>2012</v>
      </c>
      <c r="G15" s="7" t="s">
        <v>65</v>
      </c>
      <c r="H15" s="10" t="s">
        <v>68</v>
      </c>
      <c r="I15" s="10" t="s">
        <v>80</v>
      </c>
      <c r="J15" s="10" t="s">
        <v>404</v>
      </c>
      <c r="K15" s="10" t="s">
        <v>405</v>
      </c>
      <c r="L15" s="10" t="s">
        <v>62</v>
      </c>
      <c r="M15" s="10" t="s">
        <v>643</v>
      </c>
      <c r="N15" s="10" t="s">
        <v>63</v>
      </c>
      <c r="O15" s="10" t="s">
        <v>42</v>
      </c>
      <c r="P15" s="10" t="s">
        <v>41</v>
      </c>
      <c r="Q15" s="7" t="s">
        <v>51</v>
      </c>
      <c r="R15" s="15" t="s">
        <v>52</v>
      </c>
      <c r="S15" s="7" t="s">
        <v>429</v>
      </c>
      <c r="T15" s="15" t="s">
        <v>771</v>
      </c>
      <c r="U15" s="7" t="s">
        <v>772</v>
      </c>
      <c r="V15" s="88">
        <v>372</v>
      </c>
      <c r="W15" s="14">
        <v>186</v>
      </c>
      <c r="X15" s="13">
        <f>+W15*0.3334</f>
        <v>62.012399999999992</v>
      </c>
      <c r="Y15" s="14"/>
      <c r="Z15" s="14"/>
      <c r="AA15" s="14">
        <v>12</v>
      </c>
      <c r="AB15" s="14">
        <v>105</v>
      </c>
      <c r="AC15" s="14"/>
      <c r="AD15" s="14"/>
      <c r="AE15" s="14"/>
      <c r="AF15" s="14">
        <v>57.7</v>
      </c>
      <c r="AG15" s="14">
        <v>1.4</v>
      </c>
      <c r="AH15" s="14"/>
      <c r="AI15" s="14">
        <v>125</v>
      </c>
      <c r="AJ15" s="14">
        <v>103</v>
      </c>
      <c r="AK15" s="14">
        <v>13</v>
      </c>
      <c r="AL15" s="14"/>
      <c r="AM15" s="14"/>
      <c r="AN15" s="14"/>
      <c r="AO15" s="14"/>
      <c r="AP15" s="14"/>
      <c r="AQ15" s="14"/>
      <c r="AR15" s="14"/>
      <c r="AS15" s="14"/>
      <c r="AT15" s="14"/>
      <c r="AU15" s="14"/>
      <c r="AV15" s="14"/>
      <c r="AW15" s="14">
        <v>24</v>
      </c>
      <c r="AX15" s="14">
        <v>72</v>
      </c>
      <c r="AY15" s="14">
        <v>10</v>
      </c>
      <c r="AZ15" s="14">
        <v>80</v>
      </c>
      <c r="BA15" s="14">
        <v>15</v>
      </c>
      <c r="BB15" s="14"/>
      <c r="BC15" s="20">
        <v>186</v>
      </c>
      <c r="BD15" s="21">
        <f>+BC15*0.2573</f>
        <v>47.857799999999997</v>
      </c>
      <c r="BE15" s="20"/>
      <c r="BF15" s="20"/>
      <c r="BG15" s="20">
        <v>5</v>
      </c>
      <c r="BH15" s="20">
        <v>90</v>
      </c>
      <c r="BI15" s="20"/>
      <c r="BJ15" s="20"/>
      <c r="BK15" s="20"/>
      <c r="BL15" s="20">
        <v>57.9</v>
      </c>
      <c r="BM15" s="20">
        <v>1.4</v>
      </c>
      <c r="BN15" s="20">
        <f>186-105</f>
        <v>81</v>
      </c>
      <c r="BO15" s="20">
        <v>73</v>
      </c>
      <c r="BP15" s="20">
        <v>87</v>
      </c>
      <c r="BQ15" s="20">
        <v>36</v>
      </c>
      <c r="BR15" s="20"/>
      <c r="BS15" s="20"/>
      <c r="BT15" s="20"/>
      <c r="BU15" s="20"/>
      <c r="BV15" s="20"/>
      <c r="BW15" s="20"/>
      <c r="BX15" s="20"/>
      <c r="BY15" s="20"/>
      <c r="BZ15" s="20"/>
      <c r="CA15" s="20"/>
      <c r="CB15" s="20"/>
      <c r="CC15" s="20">
        <v>32</v>
      </c>
      <c r="CD15" s="20">
        <v>67</v>
      </c>
      <c r="CE15" s="20">
        <v>12</v>
      </c>
      <c r="CF15" s="20">
        <f>58+17</f>
        <v>75</v>
      </c>
      <c r="CG15" s="20">
        <v>15</v>
      </c>
      <c r="CH15" s="20"/>
      <c r="CI15" s="26">
        <v>1.31</v>
      </c>
      <c r="CJ15" s="26">
        <v>1.79</v>
      </c>
      <c r="CK15" s="26">
        <v>0.96</v>
      </c>
      <c r="CL15" s="26"/>
      <c r="CM15" s="26"/>
      <c r="CN15" s="26"/>
      <c r="CO15" s="9"/>
      <c r="CP15" s="53"/>
    </row>
    <row r="16" spans="1:97" s="8" customFormat="1">
      <c r="A16" s="27">
        <v>11</v>
      </c>
      <c r="B16" s="15">
        <v>11</v>
      </c>
      <c r="C16" s="5" t="s">
        <v>87</v>
      </c>
      <c r="D16" s="5" t="s">
        <v>88</v>
      </c>
      <c r="E16" s="5" t="str">
        <f t="shared" si="0"/>
        <v>Carena, 2020</v>
      </c>
      <c r="F16" s="7">
        <v>2020</v>
      </c>
      <c r="G16" s="7" t="s">
        <v>89</v>
      </c>
      <c r="H16" s="10" t="s">
        <v>68</v>
      </c>
      <c r="I16" s="10" t="s">
        <v>80</v>
      </c>
      <c r="J16" s="10" t="s">
        <v>406</v>
      </c>
      <c r="K16" s="10" t="s">
        <v>407</v>
      </c>
      <c r="L16" s="10" t="s">
        <v>534</v>
      </c>
      <c r="M16" s="10" t="s">
        <v>408</v>
      </c>
      <c r="N16" s="10" t="s">
        <v>408</v>
      </c>
      <c r="O16" s="10" t="s">
        <v>56</v>
      </c>
      <c r="P16" s="10" t="s">
        <v>56</v>
      </c>
      <c r="Q16" s="7" t="s">
        <v>30</v>
      </c>
      <c r="R16" s="15" t="s">
        <v>32</v>
      </c>
      <c r="S16" s="7" t="s">
        <v>434</v>
      </c>
      <c r="T16" s="15" t="s">
        <v>434</v>
      </c>
      <c r="U16" s="7" t="s">
        <v>770</v>
      </c>
      <c r="V16" s="88">
        <v>394</v>
      </c>
      <c r="W16" s="14">
        <v>168</v>
      </c>
      <c r="X16" s="14">
        <v>58</v>
      </c>
      <c r="Y16" s="14"/>
      <c r="Z16" s="14"/>
      <c r="AA16" s="14">
        <v>13</v>
      </c>
      <c r="AB16" s="14">
        <v>54</v>
      </c>
      <c r="AC16" s="14"/>
      <c r="AD16" s="14"/>
      <c r="AE16" s="14"/>
      <c r="AF16" s="14">
        <v>46</v>
      </c>
      <c r="AG16" s="14"/>
      <c r="AH16" s="14">
        <f>168-106</f>
        <v>62</v>
      </c>
      <c r="AI16" s="14"/>
      <c r="AJ16" s="14">
        <v>102</v>
      </c>
      <c r="AK16" s="14">
        <v>147</v>
      </c>
      <c r="AL16" s="14"/>
      <c r="AM16" s="14"/>
      <c r="AN16" s="14"/>
      <c r="AO16" s="14">
        <v>16</v>
      </c>
      <c r="AP16" s="14"/>
      <c r="AQ16" s="14"/>
      <c r="AR16" s="14"/>
      <c r="AS16" s="14">
        <v>115</v>
      </c>
      <c r="AT16" s="14"/>
      <c r="AU16" s="14">
        <v>0</v>
      </c>
      <c r="AV16" s="14">
        <v>11</v>
      </c>
      <c r="AW16" s="14">
        <v>12</v>
      </c>
      <c r="AX16" s="14">
        <v>27</v>
      </c>
      <c r="AY16" s="14">
        <v>41</v>
      </c>
      <c r="AZ16" s="14">
        <v>77</v>
      </c>
      <c r="BA16" s="14">
        <v>13</v>
      </c>
      <c r="BB16" s="14"/>
      <c r="BC16" s="20">
        <v>226</v>
      </c>
      <c r="BD16" s="20">
        <v>36</v>
      </c>
      <c r="BE16" s="20"/>
      <c r="BF16" s="20"/>
      <c r="BG16" s="20">
        <v>1</v>
      </c>
      <c r="BH16" s="20">
        <v>43</v>
      </c>
      <c r="BI16" s="20"/>
      <c r="BJ16" s="20"/>
      <c r="BK16" s="20"/>
      <c r="BL16" s="20">
        <v>55</v>
      </c>
      <c r="BM16" s="20">
        <f>+BC16-123</f>
        <v>103</v>
      </c>
      <c r="BN16" s="20"/>
      <c r="BO16" s="20"/>
      <c r="BP16" s="20">
        <v>106</v>
      </c>
      <c r="BQ16" s="20">
        <v>41</v>
      </c>
      <c r="BR16" s="20"/>
      <c r="BS16" s="20"/>
      <c r="BT16" s="20"/>
      <c r="BU16" s="20">
        <v>61</v>
      </c>
      <c r="BV16" s="20"/>
      <c r="BW16" s="20"/>
      <c r="BX16" s="20"/>
      <c r="BY16" s="20">
        <v>130</v>
      </c>
      <c r="BZ16" s="20"/>
      <c r="CA16" s="20">
        <v>0</v>
      </c>
      <c r="CB16" s="20">
        <v>28</v>
      </c>
      <c r="CC16" s="20">
        <v>32</v>
      </c>
      <c r="CD16" s="20">
        <v>25</v>
      </c>
      <c r="CE16" s="20">
        <v>69</v>
      </c>
      <c r="CF16" s="20">
        <f>+BC16-SUM(CB16:CE16)</f>
        <v>72</v>
      </c>
      <c r="CG16" s="20">
        <v>14</v>
      </c>
      <c r="CH16" s="20"/>
      <c r="CI16" s="26"/>
      <c r="CJ16" s="26"/>
      <c r="CK16" s="26"/>
      <c r="CL16" s="26"/>
      <c r="CM16" s="26"/>
      <c r="CN16" s="26"/>
      <c r="CO16" s="9"/>
      <c r="CP16" s="54"/>
    </row>
    <row r="17" spans="1:94" s="8" customFormat="1">
      <c r="A17" s="27">
        <v>12</v>
      </c>
      <c r="B17" s="15">
        <v>12</v>
      </c>
      <c r="C17" s="5" t="s">
        <v>959</v>
      </c>
      <c r="D17" s="5" t="s">
        <v>1063</v>
      </c>
      <c r="E17" s="5" t="str">
        <f t="shared" si="0"/>
        <v>Cetin, 2021</v>
      </c>
      <c r="F17" s="7">
        <v>2021</v>
      </c>
      <c r="G17" s="7" t="s">
        <v>73</v>
      </c>
      <c r="H17" s="10" t="s">
        <v>68</v>
      </c>
      <c r="I17" s="10" t="s">
        <v>83</v>
      </c>
      <c r="J17" s="10" t="s">
        <v>1026</v>
      </c>
      <c r="K17" s="10" t="s">
        <v>1027</v>
      </c>
      <c r="L17" s="10" t="s">
        <v>408</v>
      </c>
      <c r="M17" s="10" t="s">
        <v>408</v>
      </c>
      <c r="N17" s="10"/>
      <c r="O17" s="10" t="s">
        <v>45</v>
      </c>
      <c r="P17" s="10" t="s">
        <v>41</v>
      </c>
      <c r="Q17" s="7" t="s">
        <v>30</v>
      </c>
      <c r="R17" s="15" t="s">
        <v>32</v>
      </c>
      <c r="S17" s="7" t="s">
        <v>429</v>
      </c>
      <c r="T17" s="7" t="s">
        <v>786</v>
      </c>
      <c r="U17" s="7" t="s">
        <v>787</v>
      </c>
      <c r="V17" s="88">
        <f>157+54</f>
        <v>211</v>
      </c>
      <c r="W17" s="14">
        <v>54</v>
      </c>
      <c r="X17" s="14">
        <v>29</v>
      </c>
      <c r="Y17" s="14">
        <v>45.1</v>
      </c>
      <c r="Z17" s="14">
        <v>49.3</v>
      </c>
      <c r="AA17" s="14">
        <v>24.5</v>
      </c>
      <c r="AB17" s="14"/>
      <c r="AC17" s="14"/>
      <c r="AD17" s="14"/>
      <c r="AE17" s="14"/>
      <c r="AF17" s="14">
        <v>67.7</v>
      </c>
      <c r="AG17" s="14">
        <v>17.899999999999999</v>
      </c>
      <c r="AH17" s="14">
        <v>29</v>
      </c>
      <c r="AI17" s="14">
        <v>24</v>
      </c>
      <c r="AJ17" s="14">
        <v>45</v>
      </c>
      <c r="AK17" s="14"/>
      <c r="AL17" s="14">
        <v>21</v>
      </c>
      <c r="AM17" s="14"/>
      <c r="AN17" s="14">
        <v>12</v>
      </c>
      <c r="AO17" s="14">
        <v>14</v>
      </c>
      <c r="AP17" s="14">
        <v>0</v>
      </c>
      <c r="AQ17" s="14">
        <v>12</v>
      </c>
      <c r="AR17" s="14">
        <v>5</v>
      </c>
      <c r="AS17" s="14">
        <v>6</v>
      </c>
      <c r="AT17" s="14"/>
      <c r="AU17" s="14">
        <v>4.8</v>
      </c>
      <c r="AV17" s="14"/>
      <c r="AW17" s="14"/>
      <c r="AX17" s="14"/>
      <c r="AY17" s="14"/>
      <c r="AZ17" s="14"/>
      <c r="BA17" s="14"/>
      <c r="BB17" s="14">
        <v>5.3</v>
      </c>
      <c r="BC17" s="20">
        <v>157</v>
      </c>
      <c r="BD17" s="20">
        <v>31</v>
      </c>
      <c r="BE17" s="20">
        <v>20</v>
      </c>
      <c r="BF17" s="20">
        <v>21.2</v>
      </c>
      <c r="BG17" s="20">
        <v>14.6</v>
      </c>
      <c r="BH17" s="20"/>
      <c r="BI17" s="20"/>
      <c r="BJ17" s="20"/>
      <c r="BK17" s="20"/>
      <c r="BL17" s="20">
        <v>68.2</v>
      </c>
      <c r="BM17" s="20">
        <v>16.8</v>
      </c>
      <c r="BN17" s="20">
        <v>69</v>
      </c>
      <c r="BO17" s="20">
        <v>25</v>
      </c>
      <c r="BP17" s="20">
        <v>67</v>
      </c>
      <c r="BQ17" s="20"/>
      <c r="BR17" s="20">
        <v>48</v>
      </c>
      <c r="BS17" s="20"/>
      <c r="BT17" s="20">
        <v>41</v>
      </c>
      <c r="BU17" s="20">
        <v>43</v>
      </c>
      <c r="BV17" s="20">
        <v>9</v>
      </c>
      <c r="BW17" s="20">
        <v>42</v>
      </c>
      <c r="BX17" s="20">
        <v>10</v>
      </c>
      <c r="BY17" s="20">
        <v>16</v>
      </c>
      <c r="BZ17" s="20"/>
      <c r="CA17" s="20">
        <v>2.1</v>
      </c>
      <c r="CB17" s="20"/>
      <c r="CC17" s="20"/>
      <c r="CD17" s="20"/>
      <c r="CE17" s="20"/>
      <c r="CF17" s="20"/>
      <c r="CG17" s="20"/>
      <c r="CH17" s="20">
        <v>5.4</v>
      </c>
      <c r="CI17" s="26"/>
      <c r="CJ17" s="26"/>
      <c r="CK17" s="26"/>
      <c r="CL17" s="26"/>
      <c r="CM17" s="26"/>
      <c r="CN17" s="26"/>
      <c r="CO17" s="9"/>
      <c r="CP17" s="54"/>
    </row>
    <row r="18" spans="1:94" s="8" customFormat="1">
      <c r="A18" s="27">
        <v>13</v>
      </c>
      <c r="B18" s="15">
        <v>13</v>
      </c>
      <c r="C18" s="5" t="s">
        <v>90</v>
      </c>
      <c r="D18" s="5" t="s">
        <v>91</v>
      </c>
      <c r="E18" s="5" t="str">
        <f t="shared" si="0"/>
        <v>Chang, 2020</v>
      </c>
      <c r="F18" s="7">
        <v>2020</v>
      </c>
      <c r="G18" s="7" t="s">
        <v>95</v>
      </c>
      <c r="H18" s="10" t="s">
        <v>68</v>
      </c>
      <c r="I18" s="10" t="s">
        <v>96</v>
      </c>
      <c r="J18" s="10" t="s">
        <v>94</v>
      </c>
      <c r="K18" s="10" t="s">
        <v>409</v>
      </c>
      <c r="L18" s="10" t="s">
        <v>97</v>
      </c>
      <c r="M18" s="10" t="s">
        <v>176</v>
      </c>
      <c r="N18" s="10" t="s">
        <v>408</v>
      </c>
      <c r="O18" s="10" t="s">
        <v>45</v>
      </c>
      <c r="P18" s="10" t="s">
        <v>41</v>
      </c>
      <c r="Q18" s="7" t="s">
        <v>30</v>
      </c>
      <c r="R18" s="15" t="s">
        <v>32</v>
      </c>
      <c r="S18" s="7" t="s">
        <v>429</v>
      </c>
      <c r="T18" s="15" t="s">
        <v>779</v>
      </c>
      <c r="U18" s="7" t="s">
        <v>780</v>
      </c>
      <c r="V18" s="88">
        <f>46+239</f>
        <v>285</v>
      </c>
      <c r="W18" s="14">
        <v>46</v>
      </c>
      <c r="X18" s="14">
        <v>27</v>
      </c>
      <c r="Y18" s="14"/>
      <c r="Z18" s="14"/>
      <c r="AA18" s="14"/>
      <c r="AB18" s="14">
        <v>26</v>
      </c>
      <c r="AC18" s="14"/>
      <c r="AD18" s="14"/>
      <c r="AE18" s="14"/>
      <c r="AF18" s="14">
        <v>55</v>
      </c>
      <c r="AG18" s="14"/>
      <c r="AH18" s="14">
        <f>+W18-32</f>
        <v>14</v>
      </c>
      <c r="AI18" s="14">
        <v>20</v>
      </c>
      <c r="AJ18" s="14">
        <v>22</v>
      </c>
      <c r="AK18" s="14"/>
      <c r="AL18" s="14"/>
      <c r="AM18" s="14"/>
      <c r="AN18" s="14"/>
      <c r="AO18" s="14">
        <v>11</v>
      </c>
      <c r="AP18" s="14"/>
      <c r="AQ18" s="14">
        <v>16</v>
      </c>
      <c r="AR18" s="14">
        <v>3</v>
      </c>
      <c r="AS18" s="14">
        <v>3</v>
      </c>
      <c r="AT18" s="14"/>
      <c r="AU18" s="14"/>
      <c r="AV18" s="14"/>
      <c r="AW18" s="14"/>
      <c r="AX18" s="14"/>
      <c r="AY18" s="14"/>
      <c r="AZ18" s="14"/>
      <c r="BA18" s="14"/>
      <c r="BB18" s="14"/>
      <c r="BC18" s="20">
        <v>239</v>
      </c>
      <c r="BD18" s="20">
        <v>37</v>
      </c>
      <c r="BE18" s="20"/>
      <c r="BF18" s="20"/>
      <c r="BG18" s="20"/>
      <c r="BH18" s="20">
        <v>33</v>
      </c>
      <c r="BI18" s="20"/>
      <c r="BJ18" s="20"/>
      <c r="BK18" s="20"/>
      <c r="BL18" s="20">
        <v>63</v>
      </c>
      <c r="BM18" s="20"/>
      <c r="BN18" s="20">
        <f>+BC18-152</f>
        <v>87</v>
      </c>
      <c r="BO18" s="20">
        <v>103</v>
      </c>
      <c r="BP18" s="20">
        <v>129</v>
      </c>
      <c r="BQ18" s="20"/>
      <c r="BR18" s="20"/>
      <c r="BS18" s="20"/>
      <c r="BT18" s="20"/>
      <c r="BU18" s="20">
        <v>100</v>
      </c>
      <c r="BV18" s="20"/>
      <c r="BW18" s="20">
        <v>66</v>
      </c>
      <c r="BX18" s="20">
        <v>20</v>
      </c>
      <c r="BY18" s="20">
        <v>16</v>
      </c>
      <c r="BZ18" s="20"/>
      <c r="CA18" s="20"/>
      <c r="CB18" s="20"/>
      <c r="CC18" s="20"/>
      <c r="CD18" s="20"/>
      <c r="CE18" s="20"/>
      <c r="CF18" s="20"/>
      <c r="CG18" s="20"/>
      <c r="CH18" s="20"/>
      <c r="CI18" s="26">
        <v>5.89</v>
      </c>
      <c r="CJ18" s="26">
        <v>11.507</v>
      </c>
      <c r="CK18" s="26">
        <v>2.952</v>
      </c>
      <c r="CL18" s="26">
        <v>7.766</v>
      </c>
      <c r="CM18" s="26">
        <v>21.567</v>
      </c>
      <c r="CN18" s="26">
        <v>2.7690000000000001</v>
      </c>
      <c r="CO18" s="9"/>
      <c r="CP18" s="54"/>
    </row>
    <row r="19" spans="1:94" s="8" customFormat="1">
      <c r="A19" s="27">
        <v>14</v>
      </c>
      <c r="B19" s="15">
        <v>14</v>
      </c>
      <c r="C19" s="5" t="s">
        <v>970</v>
      </c>
      <c r="D19" s="5" t="s">
        <v>1062</v>
      </c>
      <c r="E19" s="5" t="str">
        <f t="shared" si="0"/>
        <v>Chen, 2022</v>
      </c>
      <c r="F19" s="7">
        <v>2022</v>
      </c>
      <c r="G19" s="7" t="s">
        <v>95</v>
      </c>
      <c r="H19" s="10" t="s">
        <v>68</v>
      </c>
      <c r="I19" s="10" t="s">
        <v>96</v>
      </c>
      <c r="J19" s="10" t="s">
        <v>971</v>
      </c>
      <c r="K19" s="10" t="s">
        <v>972</v>
      </c>
      <c r="L19" s="10" t="s">
        <v>97</v>
      </c>
      <c r="M19" s="10" t="s">
        <v>176</v>
      </c>
      <c r="N19" s="10" t="s">
        <v>408</v>
      </c>
      <c r="O19" s="10" t="s">
        <v>45</v>
      </c>
      <c r="P19" s="10" t="s">
        <v>41</v>
      </c>
      <c r="Q19" s="7" t="s">
        <v>30</v>
      </c>
      <c r="R19" s="15" t="s">
        <v>32</v>
      </c>
      <c r="S19" s="7" t="s">
        <v>429</v>
      </c>
      <c r="T19" s="15" t="s">
        <v>779</v>
      </c>
      <c r="U19" s="7" t="s">
        <v>780</v>
      </c>
      <c r="V19" s="88">
        <f>29+223</f>
        <v>252</v>
      </c>
      <c r="W19" s="14">
        <v>29</v>
      </c>
      <c r="X19" s="14">
        <v>14</v>
      </c>
      <c r="Y19" s="14"/>
      <c r="Z19" s="14"/>
      <c r="AA19" s="14"/>
      <c r="AB19" s="14">
        <v>21</v>
      </c>
      <c r="AC19" s="14"/>
      <c r="AD19" s="14"/>
      <c r="AE19" s="14"/>
      <c r="AF19" s="14"/>
      <c r="AG19" s="14"/>
      <c r="AH19" s="14">
        <f>29-23</f>
        <v>6</v>
      </c>
      <c r="AI19" s="14"/>
      <c r="AJ19" s="14"/>
      <c r="AK19" s="14"/>
      <c r="AL19" s="14">
        <v>11</v>
      </c>
      <c r="AM19" s="14">
        <v>23</v>
      </c>
      <c r="AN19" s="14"/>
      <c r="AO19" s="14">
        <v>8</v>
      </c>
      <c r="AP19" s="14"/>
      <c r="AQ19" s="14"/>
      <c r="AR19" s="14"/>
      <c r="AS19" s="14">
        <v>1</v>
      </c>
      <c r="AT19" s="14"/>
      <c r="AU19" s="14"/>
      <c r="AV19" s="14"/>
      <c r="AW19" s="14"/>
      <c r="AX19" s="14"/>
      <c r="AY19" s="14"/>
      <c r="AZ19" s="14"/>
      <c r="BA19" s="14"/>
      <c r="BB19" s="14"/>
      <c r="BC19" s="20">
        <v>223</v>
      </c>
      <c r="BD19" s="20">
        <v>13</v>
      </c>
      <c r="BE19" s="20"/>
      <c r="BF19" s="20"/>
      <c r="BG19" s="20"/>
      <c r="BH19" s="20">
        <v>38</v>
      </c>
      <c r="BI19" s="20"/>
      <c r="BJ19" s="20"/>
      <c r="BK19" s="20"/>
      <c r="BL19" s="20"/>
      <c r="BM19" s="20"/>
      <c r="BN19" s="20">
        <f>223-143</f>
        <v>80</v>
      </c>
      <c r="BO19" s="20"/>
      <c r="BP19" s="20"/>
      <c r="BQ19" s="20"/>
      <c r="BR19" s="20">
        <v>57</v>
      </c>
      <c r="BS19" s="20">
        <v>79</v>
      </c>
      <c r="BT19" s="20"/>
      <c r="BU19" s="20">
        <v>86</v>
      </c>
      <c r="BV19" s="20"/>
      <c r="BW19" s="20"/>
      <c r="BX19" s="20"/>
      <c r="BY19" s="20">
        <v>12</v>
      </c>
      <c r="BZ19" s="20"/>
      <c r="CA19" s="20"/>
      <c r="CB19" s="20"/>
      <c r="CC19" s="20"/>
      <c r="CD19" s="20"/>
      <c r="CE19" s="20"/>
      <c r="CF19" s="20"/>
      <c r="CG19" s="20"/>
      <c r="CH19" s="20"/>
      <c r="CI19" s="26"/>
      <c r="CJ19" s="26"/>
      <c r="CK19" s="26"/>
      <c r="CL19" s="26"/>
      <c r="CM19" s="26"/>
      <c r="CN19" s="26"/>
      <c r="CO19" s="9"/>
      <c r="CP19" s="54"/>
    </row>
    <row r="20" spans="1:94" s="8" customFormat="1">
      <c r="A20" s="27">
        <v>15</v>
      </c>
      <c r="B20" s="15">
        <v>15</v>
      </c>
      <c r="C20" s="5" t="s">
        <v>92</v>
      </c>
      <c r="D20" s="5" t="s">
        <v>93</v>
      </c>
      <c r="E20" s="5" t="str">
        <f t="shared" si="0"/>
        <v>Chen, 2012</v>
      </c>
      <c r="F20" s="7">
        <v>2012</v>
      </c>
      <c r="G20" s="7" t="s">
        <v>95</v>
      </c>
      <c r="H20" s="10" t="s">
        <v>68</v>
      </c>
      <c r="I20" s="10" t="s">
        <v>96</v>
      </c>
      <c r="J20" s="10" t="s">
        <v>411</v>
      </c>
      <c r="K20" s="10" t="s">
        <v>410</v>
      </c>
      <c r="L20" s="10" t="s">
        <v>62</v>
      </c>
      <c r="M20" s="10" t="s">
        <v>643</v>
      </c>
      <c r="N20" s="10" t="s">
        <v>63</v>
      </c>
      <c r="O20" s="10" t="s">
        <v>42</v>
      </c>
      <c r="P20" s="10" t="s">
        <v>41</v>
      </c>
      <c r="Q20" s="7" t="s">
        <v>51</v>
      </c>
      <c r="R20" s="15" t="s">
        <v>52</v>
      </c>
      <c r="S20" s="7" t="s">
        <v>429</v>
      </c>
      <c r="T20" s="15" t="s">
        <v>771</v>
      </c>
      <c r="U20" s="7" t="s">
        <v>772</v>
      </c>
      <c r="V20" s="88">
        <f>75+43</f>
        <v>118</v>
      </c>
      <c r="W20" s="14">
        <v>75</v>
      </c>
      <c r="X20" s="14">
        <v>25</v>
      </c>
      <c r="Y20" s="14">
        <v>55</v>
      </c>
      <c r="Z20" s="14">
        <v>44</v>
      </c>
      <c r="AA20" s="14"/>
      <c r="AB20" s="14"/>
      <c r="AC20" s="14"/>
      <c r="AD20" s="14"/>
      <c r="AE20" s="14"/>
      <c r="AF20" s="14">
        <v>55.9</v>
      </c>
      <c r="AG20" s="14">
        <v>21.8</v>
      </c>
      <c r="AH20" s="14">
        <v>20</v>
      </c>
      <c r="AI20" s="14"/>
      <c r="AJ20" s="14"/>
      <c r="AK20" s="14"/>
      <c r="AL20" s="14">
        <v>15</v>
      </c>
      <c r="AM20" s="14">
        <v>21</v>
      </c>
      <c r="AN20" s="14"/>
      <c r="AO20" s="14"/>
      <c r="AP20" s="14"/>
      <c r="AQ20" s="14"/>
      <c r="AR20" s="14"/>
      <c r="AS20" s="14"/>
      <c r="AT20" s="14"/>
      <c r="AU20" s="14"/>
      <c r="AV20" s="14">
        <v>6</v>
      </c>
      <c r="AW20" s="14">
        <v>47</v>
      </c>
      <c r="AX20" s="14"/>
      <c r="AY20" s="14">
        <v>10</v>
      </c>
      <c r="AZ20" s="14">
        <v>12</v>
      </c>
      <c r="BA20" s="14">
        <v>13.8</v>
      </c>
      <c r="BB20" s="14"/>
      <c r="BC20" s="20">
        <v>43</v>
      </c>
      <c r="BD20" s="20">
        <v>8</v>
      </c>
      <c r="BE20" s="20">
        <v>38.700000000000003</v>
      </c>
      <c r="BF20" s="20">
        <v>31.3</v>
      </c>
      <c r="BG20" s="20"/>
      <c r="BH20" s="20"/>
      <c r="BI20" s="20"/>
      <c r="BJ20" s="20"/>
      <c r="BK20" s="20"/>
      <c r="BL20" s="20">
        <v>59</v>
      </c>
      <c r="BM20" s="20">
        <v>18.5</v>
      </c>
      <c r="BN20" s="20">
        <v>13</v>
      </c>
      <c r="BO20" s="20"/>
      <c r="BP20" s="20"/>
      <c r="BQ20" s="20"/>
      <c r="BR20" s="20">
        <v>15</v>
      </c>
      <c r="BS20" s="20">
        <v>19</v>
      </c>
      <c r="BT20" s="20"/>
      <c r="BU20" s="20"/>
      <c r="BV20" s="20"/>
      <c r="BW20" s="20"/>
      <c r="BX20" s="20"/>
      <c r="BY20" s="20"/>
      <c r="BZ20" s="20"/>
      <c r="CA20" s="20"/>
      <c r="CB20" s="20">
        <v>3</v>
      </c>
      <c r="CC20" s="20">
        <v>17</v>
      </c>
      <c r="CD20" s="20"/>
      <c r="CE20" s="20">
        <v>9</v>
      </c>
      <c r="CF20" s="20">
        <v>14</v>
      </c>
      <c r="CG20" s="20">
        <v>11.3</v>
      </c>
      <c r="CH20" s="20"/>
      <c r="CI20" s="26"/>
      <c r="CJ20" s="26"/>
      <c r="CK20" s="26"/>
      <c r="CL20" s="26"/>
      <c r="CM20" s="26"/>
      <c r="CN20" s="26"/>
      <c r="CO20" s="9"/>
      <c r="CP20" s="54"/>
    </row>
    <row r="21" spans="1:94" s="8" customFormat="1">
      <c r="A21" s="27">
        <v>16</v>
      </c>
      <c r="B21" s="15">
        <v>16</v>
      </c>
      <c r="C21" s="5" t="s">
        <v>98</v>
      </c>
      <c r="D21" s="5" t="s">
        <v>99</v>
      </c>
      <c r="E21" s="5" t="str">
        <f t="shared" si="0"/>
        <v>Chusri 2019</v>
      </c>
      <c r="F21" s="7">
        <v>2019</v>
      </c>
      <c r="G21" s="7" t="s">
        <v>54</v>
      </c>
      <c r="H21" s="10" t="s">
        <v>68</v>
      </c>
      <c r="I21" s="10" t="s">
        <v>82</v>
      </c>
      <c r="J21" s="10" t="s">
        <v>101</v>
      </c>
      <c r="K21" s="10" t="s">
        <v>100</v>
      </c>
      <c r="L21" s="6" t="s">
        <v>36</v>
      </c>
      <c r="M21" s="6" t="s">
        <v>675</v>
      </c>
      <c r="N21" s="10" t="s">
        <v>422</v>
      </c>
      <c r="O21" s="10" t="s">
        <v>45</v>
      </c>
      <c r="P21" s="10" t="s">
        <v>41</v>
      </c>
      <c r="Q21" s="7" t="s">
        <v>30</v>
      </c>
      <c r="R21" s="15" t="s">
        <v>32</v>
      </c>
      <c r="S21" s="7" t="s">
        <v>429</v>
      </c>
      <c r="T21" s="15" t="s">
        <v>781</v>
      </c>
      <c r="U21" s="7" t="s">
        <v>782</v>
      </c>
      <c r="V21" s="88">
        <v>42</v>
      </c>
      <c r="W21" s="14">
        <v>31</v>
      </c>
      <c r="X21" s="14">
        <v>20</v>
      </c>
      <c r="Y21" s="14">
        <v>89</v>
      </c>
      <c r="Z21" s="14" t="s">
        <v>25</v>
      </c>
      <c r="AA21" s="14"/>
      <c r="AB21" s="14">
        <v>20</v>
      </c>
      <c r="AC21" s="14"/>
      <c r="AD21" s="14">
        <f>(906639+66045)/31.2</f>
        <v>31175.76923076923</v>
      </c>
      <c r="AE21" s="14"/>
      <c r="AF21" s="14">
        <v>54</v>
      </c>
      <c r="AG21" s="14"/>
      <c r="AH21" s="14">
        <v>13</v>
      </c>
      <c r="AI21" s="14"/>
      <c r="AJ21" s="14"/>
      <c r="AK21" s="14"/>
      <c r="AL21" s="14">
        <v>8</v>
      </c>
      <c r="AM21" s="14"/>
      <c r="AN21" s="14">
        <v>7</v>
      </c>
      <c r="AO21" s="14">
        <v>3</v>
      </c>
      <c r="AP21" s="14"/>
      <c r="AQ21" s="14">
        <v>6</v>
      </c>
      <c r="AR21" s="14"/>
      <c r="AS21" s="14">
        <v>2</v>
      </c>
      <c r="AT21" s="14"/>
      <c r="AU21" s="14"/>
      <c r="AV21" s="14"/>
      <c r="AW21" s="14">
        <v>22</v>
      </c>
      <c r="AX21" s="14"/>
      <c r="AY21" s="14">
        <v>17</v>
      </c>
      <c r="AZ21" s="14"/>
      <c r="BA21" s="14">
        <v>19</v>
      </c>
      <c r="BB21" s="14"/>
      <c r="BC21" s="20">
        <v>11</v>
      </c>
      <c r="BD21" s="20">
        <v>2</v>
      </c>
      <c r="BE21" s="20">
        <v>57</v>
      </c>
      <c r="BF21" s="20"/>
      <c r="BG21" s="20"/>
      <c r="BH21" s="20">
        <v>6</v>
      </c>
      <c r="BI21" s="20"/>
      <c r="BJ21" s="20">
        <f>(715787+23456)/31.2</f>
        <v>23693.685897435898</v>
      </c>
      <c r="BK21" s="20"/>
      <c r="BL21" s="20">
        <v>45</v>
      </c>
      <c r="BM21" s="20"/>
      <c r="BN21" s="20">
        <v>2</v>
      </c>
      <c r="BO21" s="20"/>
      <c r="BP21" s="20"/>
      <c r="BQ21" s="20"/>
      <c r="BR21" s="20">
        <v>2</v>
      </c>
      <c r="BS21" s="20"/>
      <c r="BT21" s="20">
        <v>3</v>
      </c>
      <c r="BU21" s="20">
        <v>1</v>
      </c>
      <c r="BV21" s="20"/>
      <c r="BW21" s="20">
        <v>2</v>
      </c>
      <c r="BX21" s="20"/>
      <c r="BY21" s="20">
        <v>1</v>
      </c>
      <c r="BZ21" s="20"/>
      <c r="CA21" s="20"/>
      <c r="CB21" s="20"/>
      <c r="CC21" s="20">
        <v>8</v>
      </c>
      <c r="CD21" s="20"/>
      <c r="CE21" s="20">
        <v>3</v>
      </c>
      <c r="CF21" s="20"/>
      <c r="CG21" s="20">
        <v>13</v>
      </c>
      <c r="CH21" s="20"/>
      <c r="CI21" s="26">
        <v>9.09</v>
      </c>
      <c r="CJ21" s="26">
        <v>33.33</v>
      </c>
      <c r="CK21" s="26">
        <v>2.56</v>
      </c>
      <c r="CL21" s="26">
        <v>6.55</v>
      </c>
      <c r="CM21" s="26">
        <v>29.12</v>
      </c>
      <c r="CN21" s="26">
        <v>1.67</v>
      </c>
      <c r="CO21" s="9"/>
      <c r="CP21" s="54"/>
    </row>
    <row r="22" spans="1:94" s="8" customFormat="1">
      <c r="A22" s="27">
        <v>17</v>
      </c>
      <c r="B22" s="15">
        <v>17</v>
      </c>
      <c r="C22" s="5" t="s">
        <v>103</v>
      </c>
      <c r="D22" s="5" t="s">
        <v>102</v>
      </c>
      <c r="E22" s="5" t="str">
        <f t="shared" si="0"/>
        <v>Conterno 1998</v>
      </c>
      <c r="F22" s="7">
        <v>1998</v>
      </c>
      <c r="G22" s="7" t="s">
        <v>78</v>
      </c>
      <c r="H22" s="10" t="s">
        <v>68</v>
      </c>
      <c r="I22" s="10" t="s">
        <v>80</v>
      </c>
      <c r="J22" s="10" t="s">
        <v>104</v>
      </c>
      <c r="K22" s="10" t="s">
        <v>421</v>
      </c>
      <c r="L22" s="10" t="s">
        <v>62</v>
      </c>
      <c r="M22" s="10" t="s">
        <v>643</v>
      </c>
      <c r="N22" s="10" t="s">
        <v>63</v>
      </c>
      <c r="O22" s="10" t="s">
        <v>42</v>
      </c>
      <c r="P22" s="10" t="s">
        <v>41</v>
      </c>
      <c r="Q22" s="7" t="s">
        <v>51</v>
      </c>
      <c r="R22" s="15" t="s">
        <v>52</v>
      </c>
      <c r="S22" s="7" t="s">
        <v>429</v>
      </c>
      <c r="T22" s="15" t="s">
        <v>771</v>
      </c>
      <c r="U22" s="7" t="s">
        <v>772</v>
      </c>
      <c r="V22" s="88">
        <v>136</v>
      </c>
      <c r="W22" s="14">
        <v>90</v>
      </c>
      <c r="X22" s="14">
        <v>44</v>
      </c>
      <c r="Y22" s="14"/>
      <c r="Z22" s="14"/>
      <c r="AA22" s="14"/>
      <c r="AB22" s="14">
        <v>54</v>
      </c>
      <c r="AC22" s="14"/>
      <c r="AD22" s="14"/>
      <c r="AE22" s="14"/>
      <c r="AF22" s="14"/>
      <c r="AG22" s="14"/>
      <c r="AH22" s="14">
        <v>36</v>
      </c>
      <c r="AI22" s="14">
        <v>44</v>
      </c>
      <c r="AJ22" s="14"/>
      <c r="AK22" s="14">
        <v>4</v>
      </c>
      <c r="AL22" s="14"/>
      <c r="AM22" s="14"/>
      <c r="AN22" s="14"/>
      <c r="AO22" s="14"/>
      <c r="AP22" s="14"/>
      <c r="AQ22" s="14"/>
      <c r="AR22" s="14"/>
      <c r="AS22" s="14"/>
      <c r="AT22" s="14"/>
      <c r="AU22" s="14"/>
      <c r="AV22" s="14"/>
      <c r="AW22" s="14">
        <v>14</v>
      </c>
      <c r="AX22" s="14">
        <v>23</v>
      </c>
      <c r="AY22" s="14"/>
      <c r="AZ22" s="14">
        <v>53</v>
      </c>
      <c r="BA22" s="14"/>
      <c r="BB22" s="14"/>
      <c r="BC22" s="20">
        <v>46</v>
      </c>
      <c r="BD22" s="20">
        <v>9</v>
      </c>
      <c r="BE22" s="20"/>
      <c r="BF22" s="20"/>
      <c r="BG22" s="20"/>
      <c r="BH22" s="20">
        <v>13</v>
      </c>
      <c r="BI22" s="20"/>
      <c r="BJ22" s="20"/>
      <c r="BK22" s="20"/>
      <c r="BL22" s="20"/>
      <c r="BM22" s="20"/>
      <c r="BN22" s="20">
        <v>16</v>
      </c>
      <c r="BO22" s="20">
        <v>9</v>
      </c>
      <c r="BP22" s="20"/>
      <c r="BQ22" s="20">
        <v>15</v>
      </c>
      <c r="BR22" s="20"/>
      <c r="BS22" s="20"/>
      <c r="BT22" s="20"/>
      <c r="BU22" s="20"/>
      <c r="BV22" s="20"/>
      <c r="BW22" s="20"/>
      <c r="BX22" s="20"/>
      <c r="BY22" s="20"/>
      <c r="BZ22" s="20"/>
      <c r="CA22" s="20"/>
      <c r="CB22" s="20"/>
      <c r="CC22" s="20">
        <v>3</v>
      </c>
      <c r="CD22" s="20">
        <v>12</v>
      </c>
      <c r="CE22" s="20"/>
      <c r="CF22" s="20">
        <v>31</v>
      </c>
      <c r="CG22" s="20"/>
      <c r="CH22" s="20"/>
      <c r="CI22" s="26"/>
      <c r="CJ22" s="26"/>
      <c r="CK22" s="26"/>
      <c r="CL22" s="26">
        <v>4.22</v>
      </c>
      <c r="CM22" s="26">
        <v>11.2</v>
      </c>
      <c r="CN22" s="26">
        <v>1.6</v>
      </c>
      <c r="CO22" s="9"/>
      <c r="CP22" s="54"/>
    </row>
    <row r="23" spans="1:94" s="8" customFormat="1">
      <c r="A23" s="27">
        <v>18</v>
      </c>
      <c r="B23" s="15">
        <v>18</v>
      </c>
      <c r="C23" s="5" t="s">
        <v>105</v>
      </c>
      <c r="D23" s="5" t="s">
        <v>106</v>
      </c>
      <c r="E23" s="5" t="str">
        <f t="shared" si="0"/>
        <v>Dantas 2017</v>
      </c>
      <c r="F23" s="7">
        <v>2017</v>
      </c>
      <c r="G23" s="7" t="s">
        <v>78</v>
      </c>
      <c r="H23" s="10" t="s">
        <v>68</v>
      </c>
      <c r="I23" s="10" t="s">
        <v>80</v>
      </c>
      <c r="J23" s="10" t="s">
        <v>108</v>
      </c>
      <c r="K23" s="10" t="s">
        <v>420</v>
      </c>
      <c r="L23" s="10" t="s">
        <v>107</v>
      </c>
      <c r="M23" s="10" t="s">
        <v>642</v>
      </c>
      <c r="N23" s="10" t="s">
        <v>408</v>
      </c>
      <c r="O23" s="10" t="s">
        <v>56</v>
      </c>
      <c r="P23" s="10" t="s">
        <v>56</v>
      </c>
      <c r="Q23" s="7" t="s">
        <v>30</v>
      </c>
      <c r="R23" s="15" t="s">
        <v>32</v>
      </c>
      <c r="S23" s="7" t="s">
        <v>434</v>
      </c>
      <c r="T23" s="15" t="s">
        <v>434</v>
      </c>
      <c r="U23" s="7" t="s">
        <v>770</v>
      </c>
      <c r="V23" s="88">
        <v>157</v>
      </c>
      <c r="W23" s="14">
        <v>67</v>
      </c>
      <c r="X23" s="14"/>
      <c r="Y23" s="14"/>
      <c r="Z23" s="14"/>
      <c r="AA23" s="14"/>
      <c r="AB23" s="14">
        <v>39</v>
      </c>
      <c r="AC23" s="14"/>
      <c r="AD23" s="14"/>
      <c r="AE23" s="14"/>
      <c r="AF23" s="14">
        <v>56.58</v>
      </c>
      <c r="AG23" s="14"/>
      <c r="AH23" s="14">
        <v>23</v>
      </c>
      <c r="AI23" s="14">
        <v>34</v>
      </c>
      <c r="AJ23" s="14"/>
      <c r="AK23" s="14"/>
      <c r="AL23" s="14"/>
      <c r="AM23" s="14"/>
      <c r="AN23" s="14"/>
      <c r="AO23" s="14"/>
      <c r="AP23" s="14"/>
      <c r="AQ23" s="14"/>
      <c r="AR23" s="14"/>
      <c r="AS23" s="14"/>
      <c r="AT23" s="14"/>
      <c r="AU23" s="14"/>
      <c r="AV23" s="14"/>
      <c r="AW23" s="14"/>
      <c r="AX23" s="14"/>
      <c r="AY23" s="14"/>
      <c r="AZ23" s="14"/>
      <c r="BA23" s="14"/>
      <c r="BB23" s="14"/>
      <c r="BC23" s="20">
        <v>90</v>
      </c>
      <c r="BD23" s="20"/>
      <c r="BE23" s="20"/>
      <c r="BF23" s="20"/>
      <c r="BG23" s="20"/>
      <c r="BH23" s="20">
        <v>35</v>
      </c>
      <c r="BI23" s="20"/>
      <c r="BJ23" s="20"/>
      <c r="BK23" s="20"/>
      <c r="BL23" s="20">
        <v>49.09</v>
      </c>
      <c r="BM23" s="20"/>
      <c r="BN23" s="20">
        <v>29</v>
      </c>
      <c r="BO23" s="20">
        <v>35</v>
      </c>
      <c r="BP23" s="20"/>
      <c r="BQ23" s="20"/>
      <c r="BR23" s="20"/>
      <c r="BS23" s="20"/>
      <c r="BT23" s="20"/>
      <c r="BU23" s="20"/>
      <c r="BV23" s="20"/>
      <c r="BW23" s="20"/>
      <c r="BX23" s="20"/>
      <c r="BY23" s="20"/>
      <c r="BZ23" s="20"/>
      <c r="CA23" s="20"/>
      <c r="CB23" s="20"/>
      <c r="CC23" s="20"/>
      <c r="CD23" s="20"/>
      <c r="CE23" s="20"/>
      <c r="CF23" s="20"/>
      <c r="CG23" s="20"/>
      <c r="CH23" s="20"/>
      <c r="CI23" s="26"/>
      <c r="CJ23" s="26"/>
      <c r="CK23" s="26"/>
      <c r="CL23" s="26"/>
      <c r="CM23" s="26"/>
      <c r="CN23" s="26"/>
      <c r="CO23" s="9"/>
      <c r="CP23" s="54"/>
    </row>
    <row r="24" spans="1:94" s="8" customFormat="1">
      <c r="A24" s="27">
        <v>19</v>
      </c>
      <c r="B24" s="15">
        <v>19</v>
      </c>
      <c r="C24" s="5" t="s">
        <v>109</v>
      </c>
      <c r="D24" s="5" t="s">
        <v>110</v>
      </c>
      <c r="E24" s="5" t="str">
        <f t="shared" si="0"/>
        <v>Deodhar 2015</v>
      </c>
      <c r="F24" s="7">
        <v>2015</v>
      </c>
      <c r="G24" s="7" t="s">
        <v>29</v>
      </c>
      <c r="H24" s="10" t="s">
        <v>69</v>
      </c>
      <c r="I24" s="10" t="s">
        <v>82</v>
      </c>
      <c r="J24" s="10" t="s">
        <v>111</v>
      </c>
      <c r="K24" s="10" t="s">
        <v>414</v>
      </c>
      <c r="L24" s="10" t="s">
        <v>62</v>
      </c>
      <c r="M24" s="10" t="s">
        <v>643</v>
      </c>
      <c r="N24" s="10" t="s">
        <v>63</v>
      </c>
      <c r="O24" s="10" t="s">
        <v>42</v>
      </c>
      <c r="P24" s="10" t="s">
        <v>41</v>
      </c>
      <c r="Q24" s="7" t="s">
        <v>51</v>
      </c>
      <c r="R24" s="15" t="s">
        <v>52</v>
      </c>
      <c r="S24" s="7" t="s">
        <v>429</v>
      </c>
      <c r="T24" s="15" t="s">
        <v>771</v>
      </c>
      <c r="U24" s="7" t="s">
        <v>772</v>
      </c>
      <c r="V24" s="88">
        <v>101</v>
      </c>
      <c r="W24" s="14">
        <v>40</v>
      </c>
      <c r="X24" s="14">
        <v>8</v>
      </c>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20">
        <v>61</v>
      </c>
      <c r="BD24" s="20">
        <v>13</v>
      </c>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6"/>
      <c r="CJ24" s="26"/>
      <c r="CK24" s="26"/>
      <c r="CL24" s="26"/>
      <c r="CM24" s="26"/>
      <c r="CN24" s="26"/>
      <c r="CO24" s="9"/>
    </row>
    <row r="25" spans="1:94" s="8" customFormat="1">
      <c r="A25" s="27">
        <v>20</v>
      </c>
      <c r="B25" s="15">
        <v>20</v>
      </c>
      <c r="C25" s="5" t="s">
        <v>112</v>
      </c>
      <c r="D25" s="5" t="s">
        <v>530</v>
      </c>
      <c r="E25" s="5" t="str">
        <f t="shared" si="0"/>
        <v>De-Oliveira 2002</v>
      </c>
      <c r="F25" s="7">
        <v>2002</v>
      </c>
      <c r="G25" s="7" t="s">
        <v>78</v>
      </c>
      <c r="H25" s="10" t="s">
        <v>68</v>
      </c>
      <c r="I25" s="10" t="s">
        <v>80</v>
      </c>
      <c r="J25" s="10" t="s">
        <v>113</v>
      </c>
      <c r="K25" s="10" t="s">
        <v>114</v>
      </c>
      <c r="L25" s="10" t="s">
        <v>62</v>
      </c>
      <c r="M25" s="10" t="s">
        <v>643</v>
      </c>
      <c r="N25" s="10" t="s">
        <v>63</v>
      </c>
      <c r="O25" s="10" t="s">
        <v>42</v>
      </c>
      <c r="P25" s="10" t="s">
        <v>41</v>
      </c>
      <c r="Q25" s="7" t="s">
        <v>51</v>
      </c>
      <c r="R25" s="15" t="s">
        <v>52</v>
      </c>
      <c r="S25" s="7" t="s">
        <v>429</v>
      </c>
      <c r="T25" s="15" t="s">
        <v>771</v>
      </c>
      <c r="U25" s="7" t="s">
        <v>772</v>
      </c>
      <c r="V25" s="88">
        <f>136+115</f>
        <v>251</v>
      </c>
      <c r="W25" s="14">
        <f>90+69</f>
        <v>159</v>
      </c>
      <c r="X25" s="14">
        <v>73</v>
      </c>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20">
        <f>37+9+46</f>
        <v>92</v>
      </c>
      <c r="BD25" s="20">
        <v>19</v>
      </c>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6">
        <v>3.3</v>
      </c>
      <c r="CJ25" s="26">
        <v>5.9</v>
      </c>
      <c r="CK25" s="26">
        <v>1.8</v>
      </c>
      <c r="CL25" s="26">
        <v>1.8</v>
      </c>
      <c r="CM25" s="26">
        <v>2.54</v>
      </c>
      <c r="CN25" s="26">
        <v>1.27</v>
      </c>
      <c r="CO25" s="9"/>
    </row>
    <row r="26" spans="1:94" s="8" customFormat="1">
      <c r="A26" s="27">
        <v>21</v>
      </c>
      <c r="B26" s="15">
        <v>21</v>
      </c>
      <c r="C26" s="5" t="s">
        <v>115</v>
      </c>
      <c r="D26" s="5" t="s">
        <v>116</v>
      </c>
      <c r="E26" s="5" t="str">
        <f t="shared" si="0"/>
        <v>Deris, 2011</v>
      </c>
      <c r="F26" s="7">
        <v>2011</v>
      </c>
      <c r="G26" s="7" t="s">
        <v>117</v>
      </c>
      <c r="H26" s="10" t="s">
        <v>68</v>
      </c>
      <c r="I26" s="10" t="s">
        <v>96</v>
      </c>
      <c r="J26" s="10" t="s">
        <v>416</v>
      </c>
      <c r="K26" s="10" t="s">
        <v>415</v>
      </c>
      <c r="L26" s="6" t="s">
        <v>36</v>
      </c>
      <c r="M26" s="6" t="s">
        <v>675</v>
      </c>
      <c r="N26" s="10" t="s">
        <v>118</v>
      </c>
      <c r="O26" s="10" t="s">
        <v>45</v>
      </c>
      <c r="P26" s="10" t="s">
        <v>41</v>
      </c>
      <c r="Q26" s="7" t="s">
        <v>30</v>
      </c>
      <c r="R26" s="15" t="s">
        <v>32</v>
      </c>
      <c r="S26" s="7" t="s">
        <v>429</v>
      </c>
      <c r="T26" s="15" t="s">
        <v>783</v>
      </c>
      <c r="U26" s="7" t="s">
        <v>784</v>
      </c>
      <c r="V26" s="88">
        <v>56</v>
      </c>
      <c r="W26" s="14">
        <v>15</v>
      </c>
      <c r="X26" s="14">
        <v>6</v>
      </c>
      <c r="Y26" s="14">
        <v>32.299999999999997</v>
      </c>
      <c r="Z26" s="14">
        <v>16.350000000000001</v>
      </c>
      <c r="AA26" s="14">
        <v>14.7</v>
      </c>
      <c r="AB26" s="14">
        <v>11</v>
      </c>
      <c r="AC26" s="14">
        <v>15</v>
      </c>
      <c r="AD26" s="14"/>
      <c r="AE26" s="14"/>
      <c r="AF26" s="14">
        <v>40.1</v>
      </c>
      <c r="AG26" s="14">
        <v>26.85</v>
      </c>
      <c r="AH26" s="14">
        <v>6</v>
      </c>
      <c r="AI26" s="14"/>
      <c r="AJ26" s="14"/>
      <c r="AK26" s="14"/>
      <c r="AL26" s="14">
        <v>1</v>
      </c>
      <c r="AM26" s="14"/>
      <c r="AN26" s="14"/>
      <c r="AO26" s="14">
        <v>2</v>
      </c>
      <c r="AP26" s="14"/>
      <c r="AQ26" s="14">
        <v>3</v>
      </c>
      <c r="AR26" s="14"/>
      <c r="AS26" s="14">
        <v>2</v>
      </c>
      <c r="AT26" s="14"/>
      <c r="AU26" s="14"/>
      <c r="AV26" s="14"/>
      <c r="AW26" s="14"/>
      <c r="AX26" s="14"/>
      <c r="AY26" s="14"/>
      <c r="AZ26" s="14"/>
      <c r="BA26" s="14"/>
      <c r="BB26" s="14"/>
      <c r="BC26" s="20">
        <v>41</v>
      </c>
      <c r="BD26" s="20">
        <v>9</v>
      </c>
      <c r="BE26" s="20">
        <v>32.799999999999997</v>
      </c>
      <c r="BF26" s="20">
        <v>25.04</v>
      </c>
      <c r="BG26" s="20">
        <v>14.8</v>
      </c>
      <c r="BH26" s="20">
        <v>20</v>
      </c>
      <c r="BI26" s="20">
        <v>6</v>
      </c>
      <c r="BJ26" s="20"/>
      <c r="BK26" s="20"/>
      <c r="BL26" s="20">
        <v>26.2</v>
      </c>
      <c r="BM26" s="20">
        <v>22.88</v>
      </c>
      <c r="BN26" s="20">
        <v>18</v>
      </c>
      <c r="BO26" s="20"/>
      <c r="BP26" s="20"/>
      <c r="BQ26" s="20"/>
      <c r="BR26" s="20">
        <v>5</v>
      </c>
      <c r="BS26" s="20"/>
      <c r="BT26" s="20"/>
      <c r="BU26" s="20">
        <v>7</v>
      </c>
      <c r="BV26" s="20"/>
      <c r="BW26" s="20">
        <v>5</v>
      </c>
      <c r="BX26" s="20"/>
      <c r="BY26" s="20">
        <v>4</v>
      </c>
      <c r="BZ26" s="20"/>
      <c r="CA26" s="20"/>
      <c r="CB26" s="20"/>
      <c r="CC26" s="20"/>
      <c r="CD26" s="20"/>
      <c r="CE26" s="20"/>
      <c r="CF26" s="20"/>
      <c r="CG26" s="20"/>
      <c r="CH26" s="20"/>
      <c r="CI26" s="26">
        <v>2.33</v>
      </c>
      <c r="CJ26" s="26">
        <v>8.5399999999999991</v>
      </c>
      <c r="CK26" s="26">
        <v>0.64</v>
      </c>
      <c r="CL26" s="26"/>
      <c r="CM26" s="26"/>
      <c r="CN26" s="26"/>
      <c r="CO26" s="9"/>
    </row>
    <row r="27" spans="1:94" s="8" customFormat="1">
      <c r="A27" s="27">
        <v>22</v>
      </c>
      <c r="B27" s="15">
        <v>22</v>
      </c>
      <c r="C27" s="5" t="s">
        <v>974</v>
      </c>
      <c r="D27" s="5" t="s">
        <v>973</v>
      </c>
      <c r="E27" s="5" t="str">
        <f t="shared" si="0"/>
        <v>Dramowski 2022</v>
      </c>
      <c r="F27" s="7">
        <v>2022</v>
      </c>
      <c r="G27" s="7" t="s">
        <v>337</v>
      </c>
      <c r="H27" s="10" t="s">
        <v>68</v>
      </c>
      <c r="I27" s="10" t="s">
        <v>310</v>
      </c>
      <c r="J27" s="10" t="s">
        <v>977</v>
      </c>
      <c r="K27" s="10" t="s">
        <v>978</v>
      </c>
      <c r="L27" s="6" t="s">
        <v>408</v>
      </c>
      <c r="M27" s="6" t="s">
        <v>176</v>
      </c>
      <c r="N27" s="10"/>
      <c r="O27" s="10" t="s">
        <v>43</v>
      </c>
      <c r="P27" s="10" t="s">
        <v>41</v>
      </c>
      <c r="Q27" s="7" t="s">
        <v>30</v>
      </c>
      <c r="R27" s="15" t="s">
        <v>32</v>
      </c>
      <c r="S27" s="7" t="s">
        <v>429</v>
      </c>
      <c r="T27" s="15" t="s">
        <v>975</v>
      </c>
      <c r="U27" s="7" t="s">
        <v>976</v>
      </c>
      <c r="V27" s="88">
        <f>115+62</f>
        <v>177</v>
      </c>
      <c r="W27" s="14">
        <v>62</v>
      </c>
      <c r="X27" s="14">
        <v>27</v>
      </c>
      <c r="Y27" s="14">
        <v>10.5</v>
      </c>
      <c r="Z27" s="14"/>
      <c r="AA27" s="14"/>
      <c r="AB27" s="14"/>
      <c r="AC27" s="14"/>
      <c r="AD27" s="14"/>
      <c r="AE27" s="14"/>
      <c r="AF27" s="14"/>
      <c r="AG27" s="14"/>
      <c r="AH27" s="14">
        <f>62-32</f>
        <v>30</v>
      </c>
      <c r="AI27" s="14"/>
      <c r="AJ27" s="14"/>
      <c r="AK27" s="14">
        <v>6</v>
      </c>
      <c r="AL27" s="14"/>
      <c r="AM27" s="14"/>
      <c r="AN27" s="14"/>
      <c r="AO27" s="14"/>
      <c r="AP27" s="14"/>
      <c r="AQ27" s="14"/>
      <c r="AR27" s="14"/>
      <c r="AS27" s="14"/>
      <c r="AT27" s="14"/>
      <c r="AU27" s="14">
        <v>3</v>
      </c>
      <c r="AV27" s="14">
        <v>14</v>
      </c>
      <c r="AW27" s="14">
        <v>14</v>
      </c>
      <c r="AX27" s="14"/>
      <c r="AY27" s="14">
        <v>16</v>
      </c>
      <c r="AZ27" s="14">
        <v>18</v>
      </c>
      <c r="BA27" s="14"/>
      <c r="BB27" s="14">
        <v>2</v>
      </c>
      <c r="BC27" s="20">
        <v>115</v>
      </c>
      <c r="BD27" s="20">
        <v>33</v>
      </c>
      <c r="BE27" s="20">
        <v>9</v>
      </c>
      <c r="BF27" s="20"/>
      <c r="BG27" s="20"/>
      <c r="BH27" s="20"/>
      <c r="BI27" s="20"/>
      <c r="BJ27" s="20"/>
      <c r="BK27" s="20"/>
      <c r="BL27" s="20"/>
      <c r="BM27" s="20"/>
      <c r="BN27" s="20">
        <f>115-51</f>
        <v>64</v>
      </c>
      <c r="BO27" s="20"/>
      <c r="BP27" s="20"/>
      <c r="BQ27" s="20">
        <v>27</v>
      </c>
      <c r="BR27" s="20"/>
      <c r="BS27" s="20"/>
      <c r="BT27" s="20"/>
      <c r="BU27" s="20"/>
      <c r="BV27" s="20"/>
      <c r="BW27" s="20"/>
      <c r="BX27" s="20"/>
      <c r="BY27" s="20"/>
      <c r="BZ27" s="20"/>
      <c r="CA27" s="20">
        <v>2</v>
      </c>
      <c r="CB27" s="20">
        <v>22</v>
      </c>
      <c r="CC27" s="20">
        <v>23</v>
      </c>
      <c r="CD27" s="20"/>
      <c r="CE27" s="20">
        <v>51</v>
      </c>
      <c r="CF27" s="20">
        <v>19</v>
      </c>
      <c r="CG27" s="20"/>
      <c r="CH27" s="20">
        <v>1</v>
      </c>
      <c r="CI27" s="26"/>
      <c r="CJ27" s="26"/>
      <c r="CK27" s="26"/>
      <c r="CL27" s="26"/>
      <c r="CM27" s="26"/>
      <c r="CN27" s="26"/>
      <c r="CO27" s="9"/>
    </row>
    <row r="28" spans="1:94" s="8" customFormat="1">
      <c r="A28" s="27">
        <v>23</v>
      </c>
      <c r="B28" s="15">
        <v>23</v>
      </c>
      <c r="C28" s="5" t="s">
        <v>119</v>
      </c>
      <c r="D28" s="5" t="s">
        <v>120</v>
      </c>
      <c r="E28" s="5" t="str">
        <f t="shared" si="0"/>
        <v>Durdu, 2016</v>
      </c>
      <c r="F28" s="7">
        <v>2016</v>
      </c>
      <c r="G28" s="7" t="s">
        <v>73</v>
      </c>
      <c r="H28" s="10" t="s">
        <v>68</v>
      </c>
      <c r="I28" s="10" t="s">
        <v>83</v>
      </c>
      <c r="J28" s="10" t="s">
        <v>159</v>
      </c>
      <c r="K28" s="10" t="s">
        <v>158</v>
      </c>
      <c r="L28" s="10" t="s">
        <v>97</v>
      </c>
      <c r="M28" s="10" t="s">
        <v>176</v>
      </c>
      <c r="N28" s="10" t="s">
        <v>417</v>
      </c>
      <c r="O28" s="10" t="s">
        <v>45</v>
      </c>
      <c r="P28" s="10" t="s">
        <v>41</v>
      </c>
      <c r="Q28" s="7" t="s">
        <v>30</v>
      </c>
      <c r="R28" s="15" t="s">
        <v>32</v>
      </c>
      <c r="S28" s="7" t="s">
        <v>429</v>
      </c>
      <c r="T28" s="15" t="s">
        <v>779</v>
      </c>
      <c r="U28" s="7" t="s">
        <v>785</v>
      </c>
      <c r="V28" s="88">
        <v>190</v>
      </c>
      <c r="W28" s="13">
        <f>+(46*0.495)+(63*0.364)</f>
        <v>45.701999999999998</v>
      </c>
      <c r="X28" s="13">
        <f>+(46*0.495)</f>
        <v>22.77</v>
      </c>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21">
        <f>+(46*0.505)+(63*0.636)</f>
        <v>63.298000000000002</v>
      </c>
      <c r="BD28" s="21">
        <f>+(46*0.505)</f>
        <v>23.23</v>
      </c>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6"/>
      <c r="CJ28" s="26"/>
      <c r="CK28" s="26"/>
      <c r="CL28" s="26"/>
      <c r="CM28" s="26"/>
      <c r="CN28" s="26"/>
      <c r="CO28" s="9"/>
    </row>
    <row r="29" spans="1:94" s="8" customFormat="1">
      <c r="A29" s="27">
        <v>24</v>
      </c>
      <c r="B29" s="15">
        <v>24</v>
      </c>
      <c r="C29" s="5" t="s">
        <v>122</v>
      </c>
      <c r="D29" s="5" t="s">
        <v>153</v>
      </c>
      <c r="E29" s="5" t="str">
        <f t="shared" si="0"/>
        <v>Ergönül, 2016</v>
      </c>
      <c r="F29" s="7">
        <v>2016</v>
      </c>
      <c r="G29" s="7" t="s">
        <v>73</v>
      </c>
      <c r="H29" s="10" t="s">
        <v>68</v>
      </c>
      <c r="I29" s="10" t="s">
        <v>83</v>
      </c>
      <c r="J29" s="10" t="s">
        <v>160</v>
      </c>
      <c r="K29" s="10" t="s">
        <v>419</v>
      </c>
      <c r="L29" s="10" t="s">
        <v>75</v>
      </c>
      <c r="M29" s="10" t="s">
        <v>408</v>
      </c>
      <c r="N29" s="10" t="s">
        <v>418</v>
      </c>
      <c r="O29" s="10" t="s">
        <v>45</v>
      </c>
      <c r="P29" s="10" t="s">
        <v>41</v>
      </c>
      <c r="Q29" s="7" t="s">
        <v>30</v>
      </c>
      <c r="R29" s="15" t="s">
        <v>32</v>
      </c>
      <c r="S29" s="7" t="s">
        <v>429</v>
      </c>
      <c r="T29" s="15" t="s">
        <v>786</v>
      </c>
      <c r="U29" s="7" t="s">
        <v>787</v>
      </c>
      <c r="V29" s="88">
        <v>831</v>
      </c>
      <c r="W29" s="14">
        <f>236+143</f>
        <v>379</v>
      </c>
      <c r="X29" s="14">
        <v>236</v>
      </c>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20">
        <f>371+460-W29</f>
        <v>452</v>
      </c>
      <c r="BD29" s="20">
        <f>371-236</f>
        <v>135</v>
      </c>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6"/>
      <c r="CJ29" s="26"/>
      <c r="CK29" s="26"/>
      <c r="CL29" s="26">
        <v>1.8</v>
      </c>
      <c r="CM29" s="26">
        <v>2.95</v>
      </c>
      <c r="CN29" s="26">
        <v>1.1100000000000001</v>
      </c>
      <c r="CO29" s="9"/>
    </row>
    <row r="30" spans="1:94" s="8" customFormat="1">
      <c r="A30" s="27">
        <v>25</v>
      </c>
      <c r="B30" s="15">
        <v>25</v>
      </c>
      <c r="C30" s="5" t="s">
        <v>123</v>
      </c>
      <c r="D30" s="5" t="s">
        <v>124</v>
      </c>
      <c r="E30" s="5" t="str">
        <f t="shared" si="0"/>
        <v>Ferreira, 2018</v>
      </c>
      <c r="F30" s="7">
        <v>2018</v>
      </c>
      <c r="G30" s="7" t="s">
        <v>78</v>
      </c>
      <c r="H30" s="10" t="s">
        <v>68</v>
      </c>
      <c r="I30" s="10" t="s">
        <v>80</v>
      </c>
      <c r="J30" s="10" t="s">
        <v>161</v>
      </c>
      <c r="K30" s="10" t="s">
        <v>423</v>
      </c>
      <c r="L30" s="10" t="s">
        <v>424</v>
      </c>
      <c r="M30" s="10" t="s">
        <v>408</v>
      </c>
      <c r="N30" s="10" t="s">
        <v>408</v>
      </c>
      <c r="O30" s="10" t="s">
        <v>56</v>
      </c>
      <c r="P30" s="10" t="s">
        <v>56</v>
      </c>
      <c r="Q30" s="7" t="s">
        <v>408</v>
      </c>
      <c r="R30" s="15" t="s">
        <v>32</v>
      </c>
      <c r="S30" s="7" t="s">
        <v>434</v>
      </c>
      <c r="T30" s="15" t="s">
        <v>434</v>
      </c>
      <c r="U30" s="7" t="s">
        <v>770</v>
      </c>
      <c r="V30" s="88">
        <v>62</v>
      </c>
      <c r="W30" s="14">
        <v>25</v>
      </c>
      <c r="X30" s="14">
        <v>10</v>
      </c>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20">
        <f>62-25</f>
        <v>37</v>
      </c>
      <c r="BD30" s="20">
        <v>3</v>
      </c>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6"/>
      <c r="CJ30" s="26"/>
      <c r="CK30" s="26"/>
      <c r="CL30" s="26"/>
      <c r="CM30" s="26"/>
      <c r="CN30" s="26"/>
      <c r="CO30" s="9"/>
    </row>
    <row r="31" spans="1:94" s="8" customFormat="1">
      <c r="A31" s="27">
        <v>26</v>
      </c>
      <c r="B31" s="15">
        <v>26</v>
      </c>
      <c r="C31" s="5" t="s">
        <v>125</v>
      </c>
      <c r="D31" s="5" t="s">
        <v>126</v>
      </c>
      <c r="E31" s="5" t="str">
        <f t="shared" si="0"/>
        <v>Fu, 2015</v>
      </c>
      <c r="F31" s="7">
        <v>2015</v>
      </c>
      <c r="G31" s="7" t="s">
        <v>95</v>
      </c>
      <c r="H31" s="10" t="s">
        <v>68</v>
      </c>
      <c r="I31" s="10" t="s">
        <v>96</v>
      </c>
      <c r="J31" s="10" t="s">
        <v>162</v>
      </c>
      <c r="K31" s="10" t="s">
        <v>425</v>
      </c>
      <c r="L31" s="6" t="s">
        <v>36</v>
      </c>
      <c r="M31" s="6" t="s">
        <v>675</v>
      </c>
      <c r="N31" s="10" t="s">
        <v>408</v>
      </c>
      <c r="O31" s="10" t="s">
        <v>664</v>
      </c>
      <c r="P31" s="10" t="s">
        <v>56</v>
      </c>
      <c r="Q31" s="7" t="s">
        <v>30</v>
      </c>
      <c r="R31" s="15" t="s">
        <v>32</v>
      </c>
      <c r="S31" s="7" t="s">
        <v>426</v>
      </c>
      <c r="T31" s="7" t="s">
        <v>426</v>
      </c>
      <c r="U31" s="7" t="s">
        <v>767</v>
      </c>
      <c r="V31" s="88">
        <f>39+86</f>
        <v>125</v>
      </c>
      <c r="W31" s="14">
        <v>39</v>
      </c>
      <c r="X31" s="14">
        <v>31</v>
      </c>
      <c r="Y31" s="14">
        <v>36.700000000000003</v>
      </c>
      <c r="Z31" s="14">
        <v>15.9</v>
      </c>
      <c r="AA31" s="14"/>
      <c r="AB31" s="14">
        <v>31</v>
      </c>
      <c r="AC31" s="14"/>
      <c r="AD31" s="14"/>
      <c r="AE31" s="14"/>
      <c r="AF31" s="14">
        <v>80</v>
      </c>
      <c r="AG31" s="14"/>
      <c r="AH31" s="14"/>
      <c r="AI31" s="14"/>
      <c r="AJ31" s="14"/>
      <c r="AK31" s="14"/>
      <c r="AL31" s="14">
        <v>16</v>
      </c>
      <c r="AM31" s="14"/>
      <c r="AN31" s="14">
        <v>28</v>
      </c>
      <c r="AO31" s="14">
        <v>10</v>
      </c>
      <c r="AP31" s="14"/>
      <c r="AQ31" s="14">
        <v>11</v>
      </c>
      <c r="AR31" s="14">
        <v>20</v>
      </c>
      <c r="AS31" s="14"/>
      <c r="AT31" s="14"/>
      <c r="AU31" s="14"/>
      <c r="AV31" s="14"/>
      <c r="AW31" s="14">
        <v>22</v>
      </c>
      <c r="AX31" s="14"/>
      <c r="AY31" s="14">
        <v>9</v>
      </c>
      <c r="AZ31" s="14">
        <v>8</v>
      </c>
      <c r="BA31" s="14"/>
      <c r="BB31" s="14"/>
      <c r="BC31" s="20">
        <v>86</v>
      </c>
      <c r="BD31" s="20">
        <v>38</v>
      </c>
      <c r="BE31" s="20">
        <v>36.1</v>
      </c>
      <c r="BF31" s="20">
        <v>18.100000000000001</v>
      </c>
      <c r="BG31" s="20"/>
      <c r="BH31" s="20">
        <v>45</v>
      </c>
      <c r="BI31" s="20"/>
      <c r="BJ31" s="20"/>
      <c r="BK31" s="20"/>
      <c r="BL31" s="20">
        <v>75</v>
      </c>
      <c r="BM31" s="20"/>
      <c r="BN31" s="20"/>
      <c r="BO31" s="20"/>
      <c r="BP31" s="20"/>
      <c r="BQ31" s="20"/>
      <c r="BR31" s="20">
        <v>29</v>
      </c>
      <c r="BS31" s="20"/>
      <c r="BT31" s="20">
        <v>64</v>
      </c>
      <c r="BU31" s="20">
        <v>24</v>
      </c>
      <c r="BV31" s="20"/>
      <c r="BW31" s="20">
        <v>15</v>
      </c>
      <c r="BX31" s="20">
        <v>22</v>
      </c>
      <c r="BY31" s="20"/>
      <c r="BZ31" s="20"/>
      <c r="CA31" s="20"/>
      <c r="CB31" s="20"/>
      <c r="CC31" s="20">
        <v>45</v>
      </c>
      <c r="CD31" s="20"/>
      <c r="CE31" s="20">
        <v>27</v>
      </c>
      <c r="CF31" s="20">
        <v>14</v>
      </c>
      <c r="CG31" s="20"/>
      <c r="CH31" s="20"/>
      <c r="CI31" s="26"/>
      <c r="CJ31" s="26"/>
      <c r="CK31" s="26"/>
      <c r="CL31" s="26">
        <v>4.01</v>
      </c>
      <c r="CM31" s="26">
        <v>11.04</v>
      </c>
      <c r="CN31" s="26">
        <v>1.46</v>
      </c>
      <c r="CO31" s="9"/>
    </row>
    <row r="32" spans="1:94" s="8" customFormat="1">
      <c r="A32" s="27">
        <v>27</v>
      </c>
      <c r="B32" s="15">
        <v>27</v>
      </c>
      <c r="C32" s="5" t="s">
        <v>127</v>
      </c>
      <c r="D32" s="5" t="s">
        <v>128</v>
      </c>
      <c r="E32" s="5" t="str">
        <f t="shared" si="0"/>
        <v>Furtado, 2006</v>
      </c>
      <c r="F32" s="7">
        <v>2006</v>
      </c>
      <c r="G32" s="7" t="s">
        <v>78</v>
      </c>
      <c r="H32" s="10" t="s">
        <v>68</v>
      </c>
      <c r="I32" s="10" t="s">
        <v>80</v>
      </c>
      <c r="J32" s="10" t="s">
        <v>163</v>
      </c>
      <c r="K32" s="10" t="s">
        <v>428</v>
      </c>
      <c r="L32" s="10" t="s">
        <v>427</v>
      </c>
      <c r="M32" s="10" t="s">
        <v>164</v>
      </c>
      <c r="N32" s="10" t="s">
        <v>50</v>
      </c>
      <c r="O32" s="10" t="s">
        <v>46</v>
      </c>
      <c r="P32" s="10" t="s">
        <v>59</v>
      </c>
      <c r="Q32" s="7" t="s">
        <v>51</v>
      </c>
      <c r="R32" s="15" t="s">
        <v>52</v>
      </c>
      <c r="S32" s="7" t="s">
        <v>429</v>
      </c>
      <c r="T32" s="15" t="s">
        <v>768</v>
      </c>
      <c r="U32" s="7" t="s">
        <v>769</v>
      </c>
      <c r="V32" s="88">
        <v>89</v>
      </c>
      <c r="W32" s="14">
        <v>34</v>
      </c>
      <c r="X32" s="14"/>
      <c r="Y32" s="14">
        <v>57.7</v>
      </c>
      <c r="Z32" s="14"/>
      <c r="AA32" s="14"/>
      <c r="AB32" s="14">
        <v>13</v>
      </c>
      <c r="AC32" s="14"/>
      <c r="AD32" s="14"/>
      <c r="AE32" s="14"/>
      <c r="AF32" s="14">
        <v>56.6</v>
      </c>
      <c r="AG32" s="14"/>
      <c r="AH32" s="14"/>
      <c r="AI32" s="14">
        <v>7</v>
      </c>
      <c r="AJ32" s="14">
        <v>12</v>
      </c>
      <c r="AK32" s="14"/>
      <c r="AL32" s="14">
        <v>9</v>
      </c>
      <c r="AM32" s="14"/>
      <c r="AN32" s="14"/>
      <c r="AO32" s="14"/>
      <c r="AP32" s="14"/>
      <c r="AQ32" s="14">
        <v>9</v>
      </c>
      <c r="AR32" s="14">
        <v>3</v>
      </c>
      <c r="AS32" s="14">
        <v>3</v>
      </c>
      <c r="AT32" s="14"/>
      <c r="AU32" s="14"/>
      <c r="AV32" s="14"/>
      <c r="AW32" s="14"/>
      <c r="AX32" s="14"/>
      <c r="AY32" s="14"/>
      <c r="AZ32" s="14"/>
      <c r="BA32" s="14">
        <v>10.5</v>
      </c>
      <c r="BB32" s="14"/>
      <c r="BC32" s="20">
        <v>55</v>
      </c>
      <c r="BD32" s="20"/>
      <c r="BE32" s="20">
        <v>29</v>
      </c>
      <c r="BF32" s="20"/>
      <c r="BG32" s="20"/>
      <c r="BH32" s="20">
        <v>18</v>
      </c>
      <c r="BI32" s="20"/>
      <c r="BJ32" s="20"/>
      <c r="BK32" s="20"/>
      <c r="BL32" s="20">
        <v>57.8</v>
      </c>
      <c r="BM32" s="20"/>
      <c r="BN32" s="20"/>
      <c r="BO32" s="20">
        <v>8</v>
      </c>
      <c r="BP32" s="20">
        <v>20</v>
      </c>
      <c r="BQ32" s="20"/>
      <c r="BR32" s="20">
        <v>11</v>
      </c>
      <c r="BS32" s="20"/>
      <c r="BT32" s="20"/>
      <c r="BU32" s="20"/>
      <c r="BV32" s="20"/>
      <c r="BW32" s="20">
        <v>15</v>
      </c>
      <c r="BX32" s="20">
        <v>5</v>
      </c>
      <c r="BY32" s="20">
        <v>7</v>
      </c>
      <c r="BZ32" s="20"/>
      <c r="CA32" s="20"/>
      <c r="CB32" s="20"/>
      <c r="CC32" s="20"/>
      <c r="CD32" s="20"/>
      <c r="CE32" s="20"/>
      <c r="CF32" s="20"/>
      <c r="CG32" s="20">
        <v>11</v>
      </c>
      <c r="CH32" s="20"/>
      <c r="CI32" s="26"/>
      <c r="CJ32" s="26"/>
      <c r="CK32" s="26"/>
      <c r="CL32" s="26"/>
      <c r="CM32" s="26"/>
      <c r="CN32" s="26"/>
      <c r="CO32" s="9"/>
    </row>
    <row r="33" spans="1:93" s="8" customFormat="1">
      <c r="A33" s="27">
        <v>28</v>
      </c>
      <c r="B33" s="15">
        <v>28</v>
      </c>
      <c r="C33" s="5" t="s">
        <v>129</v>
      </c>
      <c r="D33" s="5" t="s">
        <v>130</v>
      </c>
      <c r="E33" s="5" t="str">
        <f t="shared" si="0"/>
        <v>Garnica, 2009</v>
      </c>
      <c r="F33" s="7">
        <v>2009</v>
      </c>
      <c r="G33" s="7" t="s">
        <v>78</v>
      </c>
      <c r="H33" s="10" t="s">
        <v>68</v>
      </c>
      <c r="I33" s="10" t="s">
        <v>80</v>
      </c>
      <c r="J33" s="10" t="s">
        <v>165</v>
      </c>
      <c r="K33" s="10" t="s">
        <v>431</v>
      </c>
      <c r="L33" s="10" t="s">
        <v>433</v>
      </c>
      <c r="M33" s="10" t="s">
        <v>408</v>
      </c>
      <c r="N33" s="10" t="s">
        <v>432</v>
      </c>
      <c r="O33" s="10" t="s">
        <v>56</v>
      </c>
      <c r="P33" s="10" t="s">
        <v>56</v>
      </c>
      <c r="Q33" s="7" t="s">
        <v>30</v>
      </c>
      <c r="R33" s="15" t="s">
        <v>32</v>
      </c>
      <c r="S33" s="7" t="s">
        <v>434</v>
      </c>
      <c r="T33" s="15" t="s">
        <v>434</v>
      </c>
      <c r="U33" s="7" t="s">
        <v>770</v>
      </c>
      <c r="V33" s="88">
        <v>54</v>
      </c>
      <c r="W33" s="14">
        <v>10</v>
      </c>
      <c r="X33" s="14">
        <f>+W33*0.4</f>
        <v>4</v>
      </c>
      <c r="Y33" s="14"/>
      <c r="Z33" s="14"/>
      <c r="AA33" s="14">
        <v>21.5</v>
      </c>
      <c r="AB33" s="14"/>
      <c r="AC33" s="14"/>
      <c r="AD33" s="14"/>
      <c r="AE33" s="14"/>
      <c r="AF33" s="14">
        <v>52</v>
      </c>
      <c r="AG33" s="14"/>
      <c r="AH33" s="14">
        <v>6</v>
      </c>
      <c r="AI33" s="14"/>
      <c r="AJ33" s="14"/>
      <c r="AK33" s="14"/>
      <c r="AL33" s="14">
        <v>2</v>
      </c>
      <c r="AM33" s="14"/>
      <c r="AN33" s="14"/>
      <c r="AO33" s="14"/>
      <c r="AP33" s="14"/>
      <c r="AQ33" s="14">
        <v>0</v>
      </c>
      <c r="AR33" s="14"/>
      <c r="AS33" s="14"/>
      <c r="AT33" s="14">
        <v>2</v>
      </c>
      <c r="AU33" s="14"/>
      <c r="AV33" s="14"/>
      <c r="AW33" s="14"/>
      <c r="AX33" s="14"/>
      <c r="AY33" s="14"/>
      <c r="AZ33" s="14"/>
      <c r="BA33" s="14"/>
      <c r="BB33" s="14"/>
      <c r="BC33" s="20">
        <v>44</v>
      </c>
      <c r="BD33" s="21">
        <f>+BC33*0.09</f>
        <v>3.96</v>
      </c>
      <c r="BE33" s="20"/>
      <c r="BF33" s="20"/>
      <c r="BG33" s="20">
        <v>12</v>
      </c>
      <c r="BH33" s="20"/>
      <c r="BI33" s="20"/>
      <c r="BJ33" s="20"/>
      <c r="BK33" s="20"/>
      <c r="BL33" s="20">
        <v>43.5</v>
      </c>
      <c r="BM33" s="20"/>
      <c r="BN33" s="20">
        <v>19</v>
      </c>
      <c r="BO33" s="20"/>
      <c r="BP33" s="20"/>
      <c r="BQ33" s="20"/>
      <c r="BR33" s="20">
        <v>1</v>
      </c>
      <c r="BS33" s="20"/>
      <c r="BT33" s="20"/>
      <c r="BU33" s="20"/>
      <c r="BV33" s="20"/>
      <c r="BW33" s="20">
        <v>2</v>
      </c>
      <c r="BX33" s="20"/>
      <c r="BY33" s="20"/>
      <c r="BZ33" s="20">
        <f>+BC33-41</f>
        <v>3</v>
      </c>
      <c r="CA33" s="20"/>
      <c r="CB33" s="20"/>
      <c r="CC33" s="20"/>
      <c r="CD33" s="20"/>
      <c r="CE33" s="20"/>
      <c r="CF33" s="20"/>
      <c r="CG33" s="20"/>
      <c r="CH33" s="20"/>
      <c r="CI33" s="26"/>
      <c r="CJ33" s="26"/>
      <c r="CK33" s="26"/>
      <c r="CL33" s="26">
        <v>6.7</v>
      </c>
      <c r="CM33" s="26">
        <v>50.6</v>
      </c>
      <c r="CN33" s="26">
        <v>0.9</v>
      </c>
      <c r="CO33" s="9"/>
    </row>
    <row r="34" spans="1:93" s="8" customFormat="1">
      <c r="A34" s="27">
        <v>29</v>
      </c>
      <c r="B34" s="15">
        <v>29</v>
      </c>
      <c r="C34" s="5" t="s">
        <v>131</v>
      </c>
      <c r="D34" s="5" t="s">
        <v>154</v>
      </c>
      <c r="E34" s="5" t="str">
        <f t="shared" si="0"/>
        <v>Gaytán, 2006</v>
      </c>
      <c r="F34" s="7">
        <v>2006</v>
      </c>
      <c r="G34" s="7" t="s">
        <v>166</v>
      </c>
      <c r="H34" s="10" t="s">
        <v>68</v>
      </c>
      <c r="I34" s="10" t="s">
        <v>80</v>
      </c>
      <c r="J34" s="10" t="s">
        <v>167</v>
      </c>
      <c r="K34" s="10" t="s">
        <v>421</v>
      </c>
      <c r="L34" s="10" t="s">
        <v>169</v>
      </c>
      <c r="M34" s="10" t="s">
        <v>176</v>
      </c>
      <c r="N34" s="10" t="s">
        <v>168</v>
      </c>
      <c r="O34" s="10" t="s">
        <v>44</v>
      </c>
      <c r="P34" s="10" t="s">
        <v>59</v>
      </c>
      <c r="Q34" s="7" t="s">
        <v>30</v>
      </c>
      <c r="R34" s="15" t="s">
        <v>32</v>
      </c>
      <c r="S34" s="7" t="s">
        <v>429</v>
      </c>
      <c r="T34" s="15" t="s">
        <v>788</v>
      </c>
      <c r="U34" s="7" t="s">
        <v>789</v>
      </c>
      <c r="V34" s="88">
        <v>50</v>
      </c>
      <c r="W34" s="14">
        <v>26</v>
      </c>
      <c r="X34" s="14">
        <v>4</v>
      </c>
      <c r="Y34" s="14"/>
      <c r="Z34" s="14"/>
      <c r="AA34" s="14"/>
      <c r="AB34" s="14"/>
      <c r="AC34" s="14"/>
      <c r="AD34" s="14"/>
      <c r="AE34" s="14"/>
      <c r="AF34" s="14">
        <v>55</v>
      </c>
      <c r="AG34" s="14"/>
      <c r="AH34" s="14">
        <v>15</v>
      </c>
      <c r="AI34" s="14"/>
      <c r="AJ34" s="14"/>
      <c r="AK34" s="14">
        <v>12</v>
      </c>
      <c r="AL34" s="14">
        <v>2</v>
      </c>
      <c r="AM34" s="14"/>
      <c r="AN34" s="14">
        <v>7</v>
      </c>
      <c r="AO34" s="14"/>
      <c r="AP34" s="14"/>
      <c r="AQ34" s="14"/>
      <c r="AR34" s="14"/>
      <c r="AS34" s="14">
        <v>6</v>
      </c>
      <c r="AT34" s="14">
        <v>20</v>
      </c>
      <c r="AU34" s="14"/>
      <c r="AV34" s="14"/>
      <c r="AW34" s="14"/>
      <c r="AX34" s="14"/>
      <c r="AY34" s="14"/>
      <c r="AZ34" s="14"/>
      <c r="BA34" s="14"/>
      <c r="BB34" s="14"/>
      <c r="BC34" s="20">
        <v>24</v>
      </c>
      <c r="BD34" s="20">
        <v>3</v>
      </c>
      <c r="BE34" s="20"/>
      <c r="BF34" s="20"/>
      <c r="BG34" s="20"/>
      <c r="BH34" s="20"/>
      <c r="BI34" s="20"/>
      <c r="BJ34" s="20"/>
      <c r="BK34" s="20"/>
      <c r="BL34" s="20">
        <v>55</v>
      </c>
      <c r="BM34" s="20"/>
      <c r="BN34" s="20">
        <v>16</v>
      </c>
      <c r="BO34" s="20"/>
      <c r="BP34" s="20"/>
      <c r="BQ34" s="20">
        <v>15</v>
      </c>
      <c r="BR34" s="20">
        <v>4</v>
      </c>
      <c r="BS34" s="20"/>
      <c r="BT34" s="20">
        <v>3</v>
      </c>
      <c r="BU34" s="20"/>
      <c r="BV34" s="20"/>
      <c r="BW34" s="20"/>
      <c r="BX34" s="20"/>
      <c r="BY34" s="20">
        <v>5</v>
      </c>
      <c r="BZ34" s="20">
        <v>14</v>
      </c>
      <c r="CA34" s="20"/>
      <c r="CB34" s="20"/>
      <c r="CC34" s="20"/>
      <c r="CD34" s="20"/>
      <c r="CE34" s="20"/>
      <c r="CF34" s="20"/>
      <c r="CG34" s="20"/>
      <c r="CH34" s="20"/>
      <c r="CI34" s="26"/>
      <c r="CJ34" s="26"/>
      <c r="CK34" s="26"/>
      <c r="CL34" s="26"/>
      <c r="CM34" s="26"/>
      <c r="CN34" s="26"/>
      <c r="CO34" s="9"/>
    </row>
    <row r="35" spans="1:93" s="8" customFormat="1">
      <c r="A35" s="27">
        <v>30</v>
      </c>
      <c r="B35" s="15">
        <v>30</v>
      </c>
      <c r="C35" s="5" t="s">
        <v>132</v>
      </c>
      <c r="D35" s="5" t="s">
        <v>133</v>
      </c>
      <c r="E35" s="5" t="str">
        <f t="shared" si="0"/>
        <v>Ghafur, 2014</v>
      </c>
      <c r="F35" s="7">
        <v>2014</v>
      </c>
      <c r="G35" s="7" t="s">
        <v>29</v>
      </c>
      <c r="H35" s="10" t="s">
        <v>69</v>
      </c>
      <c r="I35" s="10" t="s">
        <v>82</v>
      </c>
      <c r="J35" s="10" t="s">
        <v>170</v>
      </c>
      <c r="K35" s="10" t="s">
        <v>435</v>
      </c>
      <c r="L35" s="10" t="s">
        <v>436</v>
      </c>
      <c r="M35" s="10" t="s">
        <v>408</v>
      </c>
      <c r="N35" s="10" t="s">
        <v>653</v>
      </c>
      <c r="O35" s="10" t="s">
        <v>56</v>
      </c>
      <c r="P35" s="10" t="s">
        <v>56</v>
      </c>
      <c r="Q35" s="7" t="s">
        <v>30</v>
      </c>
      <c r="R35" s="15" t="s">
        <v>32</v>
      </c>
      <c r="S35" s="7" t="s">
        <v>434</v>
      </c>
      <c r="T35" s="15" t="s">
        <v>434</v>
      </c>
      <c r="U35" s="7" t="s">
        <v>770</v>
      </c>
      <c r="V35" s="88">
        <v>141</v>
      </c>
      <c r="W35" s="14">
        <v>44</v>
      </c>
      <c r="X35" s="14">
        <v>28</v>
      </c>
      <c r="Y35" s="14"/>
      <c r="Z35" s="14"/>
      <c r="AA35" s="14"/>
      <c r="AB35" s="14"/>
      <c r="AC35" s="14"/>
      <c r="AD35" s="14"/>
      <c r="AE35" s="14"/>
      <c r="AF35" s="14">
        <v>43.09</v>
      </c>
      <c r="AG35" s="14"/>
      <c r="AH35" s="14"/>
      <c r="AI35" s="14"/>
      <c r="AJ35" s="14"/>
      <c r="AK35" s="14"/>
      <c r="AL35" s="14"/>
      <c r="AM35" s="14"/>
      <c r="AN35" s="14"/>
      <c r="AO35" s="14"/>
      <c r="AP35" s="14"/>
      <c r="AQ35" s="14"/>
      <c r="AR35" s="14"/>
      <c r="AS35" s="14"/>
      <c r="AT35" s="14"/>
      <c r="AU35" s="14"/>
      <c r="AV35" s="14"/>
      <c r="AW35" s="14"/>
      <c r="AX35" s="14"/>
      <c r="AY35" s="14"/>
      <c r="AZ35" s="14"/>
      <c r="BA35" s="14"/>
      <c r="BB35" s="14"/>
      <c r="BC35" s="20">
        <v>97</v>
      </c>
      <c r="BD35" s="20">
        <v>37</v>
      </c>
      <c r="BE35" s="20"/>
      <c r="BF35" s="20"/>
      <c r="BG35" s="20"/>
      <c r="BH35" s="20"/>
      <c r="BI35" s="20"/>
      <c r="BJ35" s="20"/>
      <c r="BK35" s="20"/>
      <c r="BL35" s="20">
        <v>47.41</v>
      </c>
      <c r="BM35" s="20"/>
      <c r="BN35" s="20"/>
      <c r="BO35" s="20"/>
      <c r="BP35" s="20"/>
      <c r="BQ35" s="20"/>
      <c r="BR35" s="20"/>
      <c r="BS35" s="20"/>
      <c r="BT35" s="20"/>
      <c r="BU35" s="20"/>
      <c r="BV35" s="20"/>
      <c r="BW35" s="20"/>
      <c r="BX35" s="20"/>
      <c r="BY35" s="20"/>
      <c r="BZ35" s="20"/>
      <c r="CA35" s="20"/>
      <c r="CB35" s="20"/>
      <c r="CC35" s="20"/>
      <c r="CD35" s="20"/>
      <c r="CE35" s="20"/>
      <c r="CF35" s="20"/>
      <c r="CG35" s="20"/>
      <c r="CH35" s="20"/>
      <c r="CI35" s="26"/>
      <c r="CJ35" s="26"/>
      <c r="CK35" s="26"/>
      <c r="CL35" s="26"/>
      <c r="CM35" s="26"/>
      <c r="CN35" s="26"/>
      <c r="CO35" s="9" t="s">
        <v>437</v>
      </c>
    </row>
    <row r="36" spans="1:93" s="8" customFormat="1" ht="16" customHeight="1">
      <c r="A36" s="27">
        <v>31</v>
      </c>
      <c r="B36" s="130" t="s">
        <v>966</v>
      </c>
      <c r="C36" s="5" t="s">
        <v>979</v>
      </c>
      <c r="D36" s="5" t="s">
        <v>1061</v>
      </c>
      <c r="E36" s="5" t="str">
        <f t="shared" si="0"/>
        <v>Goda, 2022</v>
      </c>
      <c r="F36" s="7">
        <v>2022</v>
      </c>
      <c r="G36" s="7" t="s">
        <v>29</v>
      </c>
      <c r="H36" s="10" t="s">
        <v>69</v>
      </c>
      <c r="I36" s="10" t="s">
        <v>82</v>
      </c>
      <c r="J36" s="40" t="s">
        <v>980</v>
      </c>
      <c r="K36" s="40" t="s">
        <v>981</v>
      </c>
      <c r="L36" s="10" t="s">
        <v>408</v>
      </c>
      <c r="M36" s="10" t="s">
        <v>408</v>
      </c>
      <c r="N36" s="10" t="s">
        <v>408</v>
      </c>
      <c r="O36" s="10" t="s">
        <v>56</v>
      </c>
      <c r="P36" s="10" t="s">
        <v>56</v>
      </c>
      <c r="Q36" s="7" t="s">
        <v>408</v>
      </c>
      <c r="R36" s="15" t="s">
        <v>408</v>
      </c>
      <c r="S36" s="7" t="s">
        <v>434</v>
      </c>
      <c r="T36" s="15" t="s">
        <v>434</v>
      </c>
      <c r="U36" s="7" t="s">
        <v>770</v>
      </c>
      <c r="V36" s="88">
        <v>30</v>
      </c>
      <c r="W36" s="14">
        <v>8</v>
      </c>
      <c r="X36" s="14">
        <v>1</v>
      </c>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20">
        <v>22</v>
      </c>
      <c r="BD36" s="20">
        <v>8</v>
      </c>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6"/>
      <c r="CJ36" s="26"/>
      <c r="CK36" s="26"/>
      <c r="CL36" s="26"/>
      <c r="CM36" s="26"/>
      <c r="CN36" s="26"/>
      <c r="CO36" s="9"/>
    </row>
    <row r="37" spans="1:93" s="8" customFormat="1" ht="18" customHeight="1">
      <c r="A37" s="27">
        <v>31</v>
      </c>
      <c r="B37" s="130" t="s">
        <v>967</v>
      </c>
      <c r="C37" s="5" t="s">
        <v>979</v>
      </c>
      <c r="D37" s="5" t="s">
        <v>1061</v>
      </c>
      <c r="E37" s="5" t="str">
        <f t="shared" ref="E37" si="3">+CONCATENATE(LEFT(D37,FIND(" ",D37,1)),F37)</f>
        <v>Goda, 2022</v>
      </c>
      <c r="F37" s="7">
        <v>2022</v>
      </c>
      <c r="G37" s="7" t="s">
        <v>29</v>
      </c>
      <c r="H37" s="10" t="s">
        <v>69</v>
      </c>
      <c r="I37" s="10" t="s">
        <v>82</v>
      </c>
      <c r="J37" s="40" t="s">
        <v>980</v>
      </c>
      <c r="K37" s="40" t="s">
        <v>981</v>
      </c>
      <c r="L37" s="10" t="s">
        <v>408</v>
      </c>
      <c r="M37" s="10" t="s">
        <v>408</v>
      </c>
      <c r="N37" s="10" t="s">
        <v>408</v>
      </c>
      <c r="O37" s="10" t="s">
        <v>56</v>
      </c>
      <c r="P37" s="10" t="s">
        <v>56</v>
      </c>
      <c r="Q37" s="7" t="s">
        <v>408</v>
      </c>
      <c r="R37" s="15" t="s">
        <v>408</v>
      </c>
      <c r="S37" s="7" t="s">
        <v>426</v>
      </c>
      <c r="T37" s="15" t="s">
        <v>426</v>
      </c>
      <c r="U37" s="7" t="s">
        <v>767</v>
      </c>
      <c r="V37" s="88">
        <v>30</v>
      </c>
      <c r="W37" s="14">
        <v>20</v>
      </c>
      <c r="X37" s="14">
        <v>8</v>
      </c>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20">
        <v>10</v>
      </c>
      <c r="BD37" s="20">
        <v>1</v>
      </c>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6"/>
      <c r="CJ37" s="26"/>
      <c r="CK37" s="26"/>
      <c r="CL37" s="26"/>
      <c r="CM37" s="26"/>
      <c r="CN37" s="26"/>
      <c r="CO37" s="9"/>
    </row>
    <row r="38" spans="1:93" s="8" customFormat="1">
      <c r="A38" s="27">
        <v>32</v>
      </c>
      <c r="B38" s="27">
        <v>32</v>
      </c>
      <c r="C38" s="5" t="s">
        <v>134</v>
      </c>
      <c r="D38" s="5" t="s">
        <v>155</v>
      </c>
      <c r="E38" s="5" t="str">
        <f t="shared" si="0"/>
        <v>González, 2014</v>
      </c>
      <c r="F38" s="7">
        <v>2014</v>
      </c>
      <c r="G38" s="7" t="s">
        <v>65</v>
      </c>
      <c r="H38" s="10" t="s">
        <v>68</v>
      </c>
      <c r="I38" s="10" t="s">
        <v>80</v>
      </c>
      <c r="J38" s="10" t="s">
        <v>438</v>
      </c>
      <c r="K38" s="10" t="s">
        <v>439</v>
      </c>
      <c r="L38" s="10" t="s">
        <v>107</v>
      </c>
      <c r="M38" s="10" t="s">
        <v>642</v>
      </c>
      <c r="N38" s="10" t="s">
        <v>645</v>
      </c>
      <c r="O38" s="10" t="s">
        <v>56</v>
      </c>
      <c r="P38" s="10" t="s">
        <v>56</v>
      </c>
      <c r="Q38" s="7" t="s">
        <v>30</v>
      </c>
      <c r="R38" s="15" t="s">
        <v>32</v>
      </c>
      <c r="S38" s="7" t="s">
        <v>434</v>
      </c>
      <c r="T38" s="15" t="s">
        <v>434</v>
      </c>
      <c r="U38" s="7" t="s">
        <v>770</v>
      </c>
      <c r="V38" s="88">
        <v>233</v>
      </c>
      <c r="W38" s="14">
        <v>92</v>
      </c>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20">
        <v>141</v>
      </c>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6">
        <v>1.31</v>
      </c>
      <c r="CJ38" s="26">
        <v>2.0099999999999998</v>
      </c>
      <c r="CK38" s="26">
        <v>0.86</v>
      </c>
      <c r="CL38" s="26"/>
      <c r="CM38" s="26"/>
      <c r="CN38" s="26"/>
      <c r="CO38" s="9"/>
    </row>
    <row r="39" spans="1:93" s="8" customFormat="1">
      <c r="A39" s="27">
        <v>33</v>
      </c>
      <c r="B39" s="27">
        <v>33</v>
      </c>
      <c r="C39" s="5" t="s">
        <v>135</v>
      </c>
      <c r="D39" s="5" t="s">
        <v>136</v>
      </c>
      <c r="E39" s="5" t="str">
        <f t="shared" si="0"/>
        <v>Guo, 2016</v>
      </c>
      <c r="F39" s="7">
        <v>2016</v>
      </c>
      <c r="G39" s="7" t="s">
        <v>95</v>
      </c>
      <c r="H39" s="10" t="s">
        <v>68</v>
      </c>
      <c r="I39" s="10" t="s">
        <v>96</v>
      </c>
      <c r="J39" s="10" t="s">
        <v>171</v>
      </c>
      <c r="K39" s="10" t="s">
        <v>367</v>
      </c>
      <c r="L39" s="6" t="s">
        <v>36</v>
      </c>
      <c r="M39" s="6" t="s">
        <v>675</v>
      </c>
      <c r="N39" s="10" t="s">
        <v>440</v>
      </c>
      <c r="O39" s="10" t="s">
        <v>663</v>
      </c>
      <c r="P39" s="10" t="s">
        <v>56</v>
      </c>
      <c r="Q39" s="7" t="s">
        <v>30</v>
      </c>
      <c r="R39" s="15" t="s">
        <v>32</v>
      </c>
      <c r="S39" s="7" t="s">
        <v>434</v>
      </c>
      <c r="T39" s="15" t="s">
        <v>434</v>
      </c>
      <c r="U39" s="7" t="s">
        <v>770</v>
      </c>
      <c r="V39" s="88">
        <v>87</v>
      </c>
      <c r="W39" s="14">
        <v>64</v>
      </c>
      <c r="X39" s="14">
        <v>38</v>
      </c>
      <c r="Y39" s="14"/>
      <c r="Z39" s="14"/>
      <c r="AA39" s="14"/>
      <c r="AB39" s="14">
        <v>51</v>
      </c>
      <c r="AC39" s="14"/>
      <c r="AD39" s="14"/>
      <c r="AE39" s="14"/>
      <c r="AF39" s="14">
        <v>60.61</v>
      </c>
      <c r="AG39" s="14">
        <v>20.63</v>
      </c>
      <c r="AH39" s="14"/>
      <c r="AI39" s="14"/>
      <c r="AJ39" s="14"/>
      <c r="AK39" s="14"/>
      <c r="AL39" s="14"/>
      <c r="AM39" s="14"/>
      <c r="AN39" s="14"/>
      <c r="AO39" s="14"/>
      <c r="AP39" s="14"/>
      <c r="AQ39" s="14"/>
      <c r="AR39" s="14">
        <v>39</v>
      </c>
      <c r="AS39" s="14"/>
      <c r="AT39" s="14"/>
      <c r="AU39" s="14"/>
      <c r="AV39" s="14"/>
      <c r="AW39" s="14"/>
      <c r="AX39" s="14"/>
      <c r="AY39" s="14"/>
      <c r="AZ39" s="14"/>
      <c r="BA39" s="14"/>
      <c r="BB39" s="14"/>
      <c r="BC39" s="20">
        <v>23</v>
      </c>
      <c r="BD39" s="20">
        <v>1</v>
      </c>
      <c r="BE39" s="20"/>
      <c r="BF39" s="20"/>
      <c r="BG39" s="20"/>
      <c r="BH39" s="20">
        <v>5</v>
      </c>
      <c r="BI39" s="20"/>
      <c r="BJ39" s="20"/>
      <c r="BK39" s="20"/>
      <c r="BL39" s="20">
        <v>55.83</v>
      </c>
      <c r="BM39" s="20">
        <v>19.309999999999999</v>
      </c>
      <c r="BN39" s="20"/>
      <c r="BO39" s="20"/>
      <c r="BP39" s="20"/>
      <c r="BQ39" s="20"/>
      <c r="BR39" s="20"/>
      <c r="BS39" s="20"/>
      <c r="BT39" s="20"/>
      <c r="BU39" s="20"/>
      <c r="BV39" s="20"/>
      <c r="BW39" s="20"/>
      <c r="BX39" s="20">
        <v>1</v>
      </c>
      <c r="BY39" s="20"/>
      <c r="BZ39" s="20"/>
      <c r="CA39" s="20"/>
      <c r="CB39" s="20"/>
      <c r="CC39" s="20"/>
      <c r="CD39" s="20"/>
      <c r="CE39" s="20"/>
      <c r="CF39" s="20"/>
      <c r="CG39" s="20"/>
      <c r="CH39" s="20"/>
      <c r="CI39" s="26"/>
      <c r="CJ39" s="26"/>
      <c r="CK39" s="26"/>
      <c r="CL39" s="26">
        <v>26.355</v>
      </c>
      <c r="CM39" s="26">
        <v>231.357</v>
      </c>
      <c r="CN39" s="26">
        <v>3.0019999999999998</v>
      </c>
      <c r="CO39" s="9"/>
    </row>
    <row r="40" spans="1:93" s="8" customFormat="1">
      <c r="A40" s="27">
        <v>34</v>
      </c>
      <c r="B40" s="27">
        <v>34</v>
      </c>
      <c r="C40" s="5" t="s">
        <v>137</v>
      </c>
      <c r="D40" s="5" t="s">
        <v>156</v>
      </c>
      <c r="E40" s="5" t="str">
        <f t="shared" si="0"/>
        <v>Hincapié, 2020</v>
      </c>
      <c r="F40" s="7">
        <v>2020</v>
      </c>
      <c r="G40" s="7" t="s">
        <v>65</v>
      </c>
      <c r="H40" s="10" t="s">
        <v>68</v>
      </c>
      <c r="I40" s="10" t="s">
        <v>80</v>
      </c>
      <c r="J40" s="10" t="s">
        <v>172</v>
      </c>
      <c r="K40" s="10" t="s">
        <v>441</v>
      </c>
      <c r="L40" s="10" t="s">
        <v>62</v>
      </c>
      <c r="M40" s="10" t="s">
        <v>643</v>
      </c>
      <c r="N40" s="10" t="s">
        <v>63</v>
      </c>
      <c r="O40" s="10" t="s">
        <v>42</v>
      </c>
      <c r="P40" s="10" t="s">
        <v>41</v>
      </c>
      <c r="Q40" s="7" t="s">
        <v>51</v>
      </c>
      <c r="R40" s="15" t="s">
        <v>52</v>
      </c>
      <c r="S40" s="7" t="s">
        <v>429</v>
      </c>
      <c r="T40" s="15" t="s">
        <v>771</v>
      </c>
      <c r="U40" s="7" t="s">
        <v>772</v>
      </c>
      <c r="V40" s="88">
        <f>292+909</f>
        <v>1201</v>
      </c>
      <c r="W40" s="14">
        <v>292</v>
      </c>
      <c r="X40" s="14">
        <f>103+44+72</f>
        <v>219</v>
      </c>
      <c r="Y40" s="14"/>
      <c r="Z40" s="14"/>
      <c r="AA40" s="14"/>
      <c r="AB40" s="14">
        <f>83+66+90</f>
        <v>239</v>
      </c>
      <c r="AC40" s="14"/>
      <c r="AD40" s="14"/>
      <c r="AE40" s="14"/>
      <c r="AF40" s="14">
        <v>56</v>
      </c>
      <c r="AG40" s="14"/>
      <c r="AH40" s="14">
        <f>292-177</f>
        <v>115</v>
      </c>
      <c r="AI40" s="14">
        <v>52</v>
      </c>
      <c r="AJ40" s="14"/>
      <c r="AK40" s="14">
        <v>77</v>
      </c>
      <c r="AL40" s="14"/>
      <c r="AM40" s="14"/>
      <c r="AN40" s="14"/>
      <c r="AO40" s="14"/>
      <c r="AP40" s="14"/>
      <c r="AQ40" s="14"/>
      <c r="AR40" s="14"/>
      <c r="AS40" s="14"/>
      <c r="AT40" s="14"/>
      <c r="AU40" s="14"/>
      <c r="AV40" s="14"/>
      <c r="AW40" s="14"/>
      <c r="AX40" s="14"/>
      <c r="AY40" s="14"/>
      <c r="AZ40" s="14"/>
      <c r="BA40" s="14">
        <v>15</v>
      </c>
      <c r="BB40" s="14">
        <v>2</v>
      </c>
      <c r="BC40" s="20">
        <v>909</v>
      </c>
      <c r="BD40" s="20">
        <f>35+36</f>
        <v>71</v>
      </c>
      <c r="BE40" s="20"/>
      <c r="BF40" s="20"/>
      <c r="BG40" s="20"/>
      <c r="BH40" s="20">
        <f>34+21+29</f>
        <v>84</v>
      </c>
      <c r="BI40" s="20"/>
      <c r="BJ40" s="20"/>
      <c r="BK40" s="20"/>
      <c r="BL40" s="20">
        <v>57</v>
      </c>
      <c r="BM40" s="20"/>
      <c r="BN40" s="20">
        <f>+BC40-503</f>
        <v>406</v>
      </c>
      <c r="BO40" s="20">
        <v>118</v>
      </c>
      <c r="BP40" s="20"/>
      <c r="BQ40" s="20">
        <v>224</v>
      </c>
      <c r="BR40" s="20"/>
      <c r="BS40" s="20"/>
      <c r="BT40" s="20"/>
      <c r="BU40" s="20"/>
      <c r="BV40" s="20"/>
      <c r="BW40" s="20"/>
      <c r="BX40" s="20"/>
      <c r="BY40" s="20"/>
      <c r="BZ40" s="20"/>
      <c r="CA40" s="20"/>
      <c r="CB40" s="20"/>
      <c r="CC40" s="20"/>
      <c r="CD40" s="20"/>
      <c r="CE40" s="20"/>
      <c r="CF40" s="20"/>
      <c r="CG40" s="20">
        <v>14</v>
      </c>
      <c r="CH40" s="20">
        <v>2</v>
      </c>
      <c r="CI40" s="26">
        <v>1.01</v>
      </c>
      <c r="CJ40" s="26">
        <v>1.38</v>
      </c>
      <c r="CK40" s="26">
        <v>0.74</v>
      </c>
      <c r="CL40" s="26">
        <v>1.01</v>
      </c>
      <c r="CM40" s="26">
        <v>1.78</v>
      </c>
      <c r="CN40" s="26">
        <v>0.57999999999999996</v>
      </c>
      <c r="CO40" s="9"/>
    </row>
    <row r="41" spans="1:93" s="8" customFormat="1">
      <c r="A41" s="27">
        <v>35</v>
      </c>
      <c r="B41" s="130" t="s">
        <v>998</v>
      </c>
      <c r="C41" s="5" t="s">
        <v>138</v>
      </c>
      <c r="D41" s="5" t="s">
        <v>157</v>
      </c>
      <c r="E41" s="5" t="str">
        <f t="shared" si="0"/>
        <v>Islas-Muñoz, 2018</v>
      </c>
      <c r="F41" s="7">
        <v>2018</v>
      </c>
      <c r="G41" s="7" t="s">
        <v>166</v>
      </c>
      <c r="H41" s="10" t="s">
        <v>68</v>
      </c>
      <c r="I41" s="10" t="s">
        <v>80</v>
      </c>
      <c r="J41" s="10" t="s">
        <v>447</v>
      </c>
      <c r="K41" s="10" t="s">
        <v>448</v>
      </c>
      <c r="L41" s="10" t="s">
        <v>442</v>
      </c>
      <c r="M41" s="10" t="s">
        <v>176</v>
      </c>
      <c r="N41" s="10"/>
      <c r="O41" s="10"/>
      <c r="P41" s="10" t="s">
        <v>41</v>
      </c>
      <c r="Q41" s="7" t="s">
        <v>30</v>
      </c>
      <c r="R41" s="15" t="s">
        <v>32</v>
      </c>
      <c r="S41" s="7" t="s">
        <v>443</v>
      </c>
      <c r="T41" s="15" t="s">
        <v>765</v>
      </c>
      <c r="U41" s="7" t="s">
        <v>766</v>
      </c>
      <c r="V41" s="88">
        <f>123+148</f>
        <v>271</v>
      </c>
      <c r="W41" s="14">
        <v>123</v>
      </c>
      <c r="X41" s="14">
        <v>37</v>
      </c>
      <c r="Y41" s="14"/>
      <c r="Z41" s="14"/>
      <c r="AA41" s="14"/>
      <c r="AB41" s="14"/>
      <c r="AC41" s="14"/>
      <c r="AD41" s="14"/>
      <c r="AE41" s="14"/>
      <c r="AF41" s="14"/>
      <c r="AG41" s="14"/>
      <c r="AH41" s="14"/>
      <c r="AI41" s="14"/>
      <c r="AJ41" s="14">
        <v>76</v>
      </c>
      <c r="AK41" s="14">
        <f>123-32</f>
        <v>91</v>
      </c>
      <c r="AL41" s="14"/>
      <c r="AM41" s="14"/>
      <c r="AN41" s="14"/>
      <c r="AO41" s="14">
        <v>81</v>
      </c>
      <c r="AP41" s="14"/>
      <c r="AQ41" s="14"/>
      <c r="AR41" s="14"/>
      <c r="AS41" s="14">
        <v>42</v>
      </c>
      <c r="AT41" s="14"/>
      <c r="AU41" s="14"/>
      <c r="AV41" s="14"/>
      <c r="AW41" s="14"/>
      <c r="AX41" s="14"/>
      <c r="AY41" s="14"/>
      <c r="AZ41" s="14"/>
      <c r="BA41" s="14"/>
      <c r="BB41" s="14"/>
      <c r="BC41" s="20">
        <v>148</v>
      </c>
      <c r="BD41" s="20">
        <v>35</v>
      </c>
      <c r="BE41" s="20"/>
      <c r="BF41" s="20"/>
      <c r="BG41" s="20"/>
      <c r="BH41" s="20"/>
      <c r="BI41" s="20"/>
      <c r="BJ41" s="20"/>
      <c r="BK41" s="20"/>
      <c r="BL41" s="20"/>
      <c r="BM41" s="20"/>
      <c r="BN41" s="20"/>
      <c r="BO41" s="20"/>
      <c r="BP41" s="20">
        <v>94</v>
      </c>
      <c r="BQ41" s="20">
        <f>148-26</f>
        <v>122</v>
      </c>
      <c r="BR41" s="20"/>
      <c r="BS41" s="20"/>
      <c r="BT41" s="20"/>
      <c r="BU41" s="20">
        <v>80</v>
      </c>
      <c r="BV41" s="20"/>
      <c r="BW41" s="20"/>
      <c r="BX41" s="20"/>
      <c r="BY41" s="20">
        <v>68</v>
      </c>
      <c r="BZ41" s="20"/>
      <c r="CA41" s="20"/>
      <c r="CB41" s="20"/>
      <c r="CC41" s="20"/>
      <c r="CD41" s="20"/>
      <c r="CE41" s="20"/>
      <c r="CF41" s="20"/>
      <c r="CG41" s="20"/>
      <c r="CH41" s="20"/>
      <c r="CI41" s="26"/>
      <c r="CJ41" s="26"/>
      <c r="CK41" s="26"/>
      <c r="CL41" s="26"/>
      <c r="CM41" s="26"/>
      <c r="CN41" s="26"/>
      <c r="CO41" s="9"/>
    </row>
    <row r="42" spans="1:93" s="8" customFormat="1">
      <c r="A42" s="27">
        <v>35</v>
      </c>
      <c r="B42" s="130" t="s">
        <v>999</v>
      </c>
      <c r="C42" s="5" t="s">
        <v>138</v>
      </c>
      <c r="D42" s="5" t="s">
        <v>157</v>
      </c>
      <c r="E42" s="5" t="str">
        <f t="shared" si="0"/>
        <v>Islas-Muñoz, 2018</v>
      </c>
      <c r="F42" s="7">
        <v>2018</v>
      </c>
      <c r="G42" s="7" t="s">
        <v>166</v>
      </c>
      <c r="H42" s="10" t="s">
        <v>68</v>
      </c>
      <c r="I42" s="10" t="s">
        <v>80</v>
      </c>
      <c r="J42" s="10" t="s">
        <v>447</v>
      </c>
      <c r="K42" s="10" t="s">
        <v>448</v>
      </c>
      <c r="L42" s="10" t="s">
        <v>444</v>
      </c>
      <c r="M42" s="10" t="s">
        <v>408</v>
      </c>
      <c r="N42" s="10" t="s">
        <v>654</v>
      </c>
      <c r="O42" s="10" t="s">
        <v>491</v>
      </c>
      <c r="P42" s="10" t="s">
        <v>41</v>
      </c>
      <c r="Q42" s="7" t="s">
        <v>30</v>
      </c>
      <c r="R42" s="22" t="s">
        <v>32</v>
      </c>
      <c r="S42" s="7" t="s">
        <v>434</v>
      </c>
      <c r="T42" s="15" t="s">
        <v>434</v>
      </c>
      <c r="U42" s="7" t="s">
        <v>770</v>
      </c>
      <c r="V42" s="88">
        <f>9+34</f>
        <v>43</v>
      </c>
      <c r="W42" s="14">
        <v>9</v>
      </c>
      <c r="X42" s="14">
        <v>6</v>
      </c>
      <c r="Y42" s="14"/>
      <c r="Z42" s="14"/>
      <c r="AA42" s="14"/>
      <c r="AB42" s="14"/>
      <c r="AC42" s="14"/>
      <c r="AD42" s="14"/>
      <c r="AE42" s="14"/>
      <c r="AF42" s="14"/>
      <c r="AG42" s="14"/>
      <c r="AH42" s="14"/>
      <c r="AI42" s="14"/>
      <c r="AJ42" s="14">
        <v>6</v>
      </c>
      <c r="AK42" s="14">
        <f>9-6</f>
        <v>3</v>
      </c>
      <c r="AL42" s="14"/>
      <c r="AM42" s="14"/>
      <c r="AN42" s="14"/>
      <c r="AO42" s="14">
        <v>6</v>
      </c>
      <c r="AP42" s="14"/>
      <c r="AQ42" s="14"/>
      <c r="AR42" s="14"/>
      <c r="AS42" s="14">
        <v>3</v>
      </c>
      <c r="AT42" s="14"/>
      <c r="AU42" s="14"/>
      <c r="AV42" s="14"/>
      <c r="AW42" s="14"/>
      <c r="AX42" s="14"/>
      <c r="AY42" s="14"/>
      <c r="AZ42" s="14"/>
      <c r="BA42" s="14"/>
      <c r="BB42" s="14"/>
      <c r="BC42" s="20">
        <v>34</v>
      </c>
      <c r="BD42" s="20">
        <v>5</v>
      </c>
      <c r="BE42" s="20"/>
      <c r="BF42" s="20"/>
      <c r="BG42" s="20"/>
      <c r="BH42" s="20"/>
      <c r="BI42" s="20"/>
      <c r="BJ42" s="20"/>
      <c r="BK42" s="20"/>
      <c r="BL42" s="20"/>
      <c r="BM42" s="20"/>
      <c r="BN42" s="20"/>
      <c r="BO42" s="20"/>
      <c r="BP42" s="20">
        <v>19</v>
      </c>
      <c r="BQ42" s="20">
        <f>34-3</f>
        <v>31</v>
      </c>
      <c r="BR42" s="20"/>
      <c r="BS42" s="20"/>
      <c r="BT42" s="20"/>
      <c r="BU42" s="20">
        <v>23</v>
      </c>
      <c r="BV42" s="20"/>
      <c r="BW42" s="20"/>
      <c r="BX42" s="20"/>
      <c r="BY42" s="20">
        <v>11</v>
      </c>
      <c r="BZ42" s="20"/>
      <c r="CA42" s="20"/>
      <c r="CB42" s="20"/>
      <c r="CC42" s="20"/>
      <c r="CD42" s="20"/>
      <c r="CE42" s="20"/>
      <c r="CF42" s="20"/>
      <c r="CG42" s="20"/>
      <c r="CH42" s="20"/>
      <c r="CI42" s="26"/>
      <c r="CJ42" s="26"/>
      <c r="CK42" s="26"/>
      <c r="CL42" s="26"/>
      <c r="CM42" s="26"/>
      <c r="CN42" s="26"/>
      <c r="CO42" s="9"/>
    </row>
    <row r="43" spans="1:93" s="8" customFormat="1">
      <c r="A43" s="27">
        <v>35</v>
      </c>
      <c r="B43" s="130" t="s">
        <v>1000</v>
      </c>
      <c r="C43" s="5" t="s">
        <v>138</v>
      </c>
      <c r="D43" s="5" t="s">
        <v>157</v>
      </c>
      <c r="E43" s="5" t="str">
        <f t="shared" si="0"/>
        <v>Islas-Muñoz, 2018</v>
      </c>
      <c r="F43" s="7">
        <v>2018</v>
      </c>
      <c r="G43" s="7" t="s">
        <v>166</v>
      </c>
      <c r="H43" s="10" t="s">
        <v>68</v>
      </c>
      <c r="I43" s="10" t="s">
        <v>80</v>
      </c>
      <c r="J43" s="10" t="s">
        <v>447</v>
      </c>
      <c r="K43" s="10" t="s">
        <v>448</v>
      </c>
      <c r="L43" s="10" t="s">
        <v>445</v>
      </c>
      <c r="M43" s="10" t="s">
        <v>408</v>
      </c>
      <c r="N43" s="10" t="s">
        <v>446</v>
      </c>
      <c r="O43" s="10" t="s">
        <v>56</v>
      </c>
      <c r="P43" s="10" t="s">
        <v>56</v>
      </c>
      <c r="Q43" s="7" t="s">
        <v>51</v>
      </c>
      <c r="R43" s="22" t="s">
        <v>52</v>
      </c>
      <c r="S43" s="7" t="s">
        <v>429</v>
      </c>
      <c r="T43" s="15" t="s">
        <v>956</v>
      </c>
      <c r="U43" s="7" t="s">
        <v>957</v>
      </c>
      <c r="V43" s="88">
        <f>43+6</f>
        <v>49</v>
      </c>
      <c r="W43" s="14">
        <v>6</v>
      </c>
      <c r="X43" s="14">
        <v>2</v>
      </c>
      <c r="Y43" s="14"/>
      <c r="Z43" s="14"/>
      <c r="AA43" s="14"/>
      <c r="AB43" s="14"/>
      <c r="AC43" s="14"/>
      <c r="AD43" s="14"/>
      <c r="AE43" s="14"/>
      <c r="AF43" s="14"/>
      <c r="AG43" s="14"/>
      <c r="AH43" s="14"/>
      <c r="AI43" s="14"/>
      <c r="AJ43" s="14">
        <v>3</v>
      </c>
      <c r="AK43" s="14">
        <f>6-1</f>
        <v>5</v>
      </c>
      <c r="AL43" s="14"/>
      <c r="AM43" s="14"/>
      <c r="AN43" s="14"/>
      <c r="AO43" s="14">
        <v>3</v>
      </c>
      <c r="AP43" s="14"/>
      <c r="AQ43" s="14"/>
      <c r="AR43" s="14"/>
      <c r="AS43" s="14">
        <v>3</v>
      </c>
      <c r="AT43" s="14"/>
      <c r="AU43" s="14"/>
      <c r="AV43" s="14"/>
      <c r="AW43" s="14"/>
      <c r="AX43" s="14"/>
      <c r="AY43" s="14"/>
      <c r="AZ43" s="14"/>
      <c r="BA43" s="14"/>
      <c r="BB43" s="14"/>
      <c r="BC43" s="20">
        <v>43</v>
      </c>
      <c r="BD43" s="20">
        <v>4</v>
      </c>
      <c r="BE43" s="20"/>
      <c r="BF43" s="20"/>
      <c r="BG43" s="20"/>
      <c r="BH43" s="20"/>
      <c r="BI43" s="20"/>
      <c r="BJ43" s="20"/>
      <c r="BK43" s="20"/>
      <c r="BL43" s="20"/>
      <c r="BM43" s="20"/>
      <c r="BN43" s="20"/>
      <c r="BO43" s="20"/>
      <c r="BP43" s="20">
        <v>24</v>
      </c>
      <c r="BQ43" s="20">
        <f>43-9</f>
        <v>34</v>
      </c>
      <c r="BR43" s="20"/>
      <c r="BS43" s="20"/>
      <c r="BT43" s="20"/>
      <c r="BU43" s="20">
        <v>28</v>
      </c>
      <c r="BV43" s="20"/>
      <c r="BW43" s="20"/>
      <c r="BX43" s="20"/>
      <c r="BY43" s="20">
        <v>15</v>
      </c>
      <c r="BZ43" s="20"/>
      <c r="CA43" s="20"/>
      <c r="CB43" s="20"/>
      <c r="CC43" s="20"/>
      <c r="CD43" s="20"/>
      <c r="CE43" s="20"/>
      <c r="CF43" s="20"/>
      <c r="CG43" s="20"/>
      <c r="CH43" s="20"/>
      <c r="CI43" s="26"/>
      <c r="CJ43" s="26"/>
      <c r="CK43" s="26"/>
      <c r="CL43" s="26"/>
      <c r="CM43" s="26"/>
      <c r="CN43" s="26"/>
      <c r="CO43" s="9"/>
    </row>
    <row r="44" spans="1:93" s="8" customFormat="1">
      <c r="A44" s="27">
        <v>36</v>
      </c>
      <c r="B44" s="27">
        <v>36</v>
      </c>
      <c r="C44" s="5" t="s">
        <v>139</v>
      </c>
      <c r="D44" s="5" t="s">
        <v>140</v>
      </c>
      <c r="E44" s="5" t="str">
        <f>+CONCATENATE(LEFT(D44,FIND(" ",D44,1)),F44)</f>
        <v>Jafari, 2020</v>
      </c>
      <c r="F44" s="7">
        <v>2020</v>
      </c>
      <c r="G44" s="7" t="s">
        <v>27</v>
      </c>
      <c r="H44" s="10" t="s">
        <v>69</v>
      </c>
      <c r="I44" s="10" t="s">
        <v>81</v>
      </c>
      <c r="J44" s="10" t="s">
        <v>449</v>
      </c>
      <c r="K44" s="10" t="s">
        <v>450</v>
      </c>
      <c r="L44" s="10" t="s">
        <v>641</v>
      </c>
      <c r="M44" s="10" t="s">
        <v>164</v>
      </c>
      <c r="N44" s="10" t="s">
        <v>50</v>
      </c>
      <c r="O44" s="10" t="s">
        <v>46</v>
      </c>
      <c r="P44" s="10" t="s">
        <v>59</v>
      </c>
      <c r="Q44" s="7" t="s">
        <v>51</v>
      </c>
      <c r="R44" s="16" t="s">
        <v>52</v>
      </c>
      <c r="S44" s="87" t="s">
        <v>429</v>
      </c>
      <c r="T44" s="37" t="s">
        <v>768</v>
      </c>
      <c r="U44" s="87" t="s">
        <v>769</v>
      </c>
      <c r="V44" s="88">
        <v>73</v>
      </c>
      <c r="W44" s="13">
        <f>+V44*0.71</f>
        <v>51.83</v>
      </c>
      <c r="X44" s="13">
        <f>+W44*0.571</f>
        <v>29.594929999999998</v>
      </c>
      <c r="Y44" s="14">
        <v>36.6</v>
      </c>
      <c r="Z44" s="14"/>
      <c r="AA44" s="14"/>
      <c r="AB44" s="13">
        <f>+W44*0.571</f>
        <v>29.594929999999998</v>
      </c>
      <c r="AC44" s="14">
        <v>16.46</v>
      </c>
      <c r="AD44" s="14"/>
      <c r="AE44" s="14"/>
      <c r="AF44" s="14">
        <v>58.55</v>
      </c>
      <c r="AG44" s="14"/>
      <c r="AH44" s="13">
        <f>+W44*0.448</f>
        <v>23.219840000000001</v>
      </c>
      <c r="AI44" s="13">
        <f>+W44*0.571</f>
        <v>29.594929999999998</v>
      </c>
      <c r="AJ44" s="14"/>
      <c r="AK44" s="13">
        <f>+W44*0.02</f>
        <v>1.0366</v>
      </c>
      <c r="AL44" s="13">
        <f>+W44*0.2</f>
        <v>10.366</v>
      </c>
      <c r="AM44" s="14"/>
      <c r="AN44" s="13">
        <f>+W44*0.163</f>
        <v>8.4482900000000001</v>
      </c>
      <c r="AO44" s="13"/>
      <c r="AP44" s="13">
        <f>+W44*0.122</f>
        <v>6.3232599999999994</v>
      </c>
      <c r="AQ44" s="13">
        <f>+W44*0.306</f>
        <v>15.859979999999998</v>
      </c>
      <c r="AR44" s="14"/>
      <c r="AS44" s="14"/>
      <c r="AT44" s="14"/>
      <c r="AU44" s="14"/>
      <c r="AV44" s="14"/>
      <c r="AW44" s="14"/>
      <c r="AX44" s="14"/>
      <c r="AY44" s="14"/>
      <c r="AZ44" s="14"/>
      <c r="BA44" s="14"/>
      <c r="BB44" s="14"/>
      <c r="BC44" s="21">
        <f>+V44-W44</f>
        <v>21.17</v>
      </c>
      <c r="BD44" s="21">
        <f>+BC44*0.291</f>
        <v>6.1604700000000001</v>
      </c>
      <c r="BE44" s="20">
        <v>22.32</v>
      </c>
      <c r="BF44" s="20"/>
      <c r="BG44" s="20"/>
      <c r="BH44" s="21">
        <f>+BC44*0.25</f>
        <v>5.2925000000000004</v>
      </c>
      <c r="BI44" s="20">
        <v>22</v>
      </c>
      <c r="BJ44" s="20"/>
      <c r="BK44" s="20"/>
      <c r="BL44" s="20">
        <v>59.4</v>
      </c>
      <c r="BM44" s="20"/>
      <c r="BN44" s="21">
        <f>+BC44*0.375</f>
        <v>7.9387500000000006</v>
      </c>
      <c r="BO44" s="21">
        <f>+BC44*0.291</f>
        <v>6.1604700000000001</v>
      </c>
      <c r="BP44" s="20"/>
      <c r="BQ44" s="21">
        <f>+BC44*0.166</f>
        <v>3.5142200000000003</v>
      </c>
      <c r="BR44" s="21">
        <f>+BC44*0.2</f>
        <v>4.2340000000000009</v>
      </c>
      <c r="BS44" s="20"/>
      <c r="BT44" s="21">
        <f>+BC44*0.04</f>
        <v>0.84680000000000011</v>
      </c>
      <c r="BU44" s="20"/>
      <c r="BV44" s="21">
        <f>+BC44*0.083</f>
        <v>1.7571100000000002</v>
      </c>
      <c r="BW44" s="21">
        <f>+BC44*0.208</f>
        <v>4.4033600000000002</v>
      </c>
      <c r="BX44" s="20"/>
      <c r="BY44" s="20"/>
      <c r="BZ44" s="20"/>
      <c r="CA44" s="20"/>
      <c r="CB44" s="20"/>
      <c r="CC44" s="20"/>
      <c r="CD44" s="20"/>
      <c r="CE44" s="20"/>
      <c r="CF44" s="20"/>
      <c r="CG44" s="20"/>
      <c r="CH44" s="20"/>
      <c r="CI44" s="26"/>
      <c r="CJ44" s="26"/>
      <c r="CK44" s="26"/>
      <c r="CL44" s="26"/>
      <c r="CM44" s="26"/>
      <c r="CN44" s="26"/>
      <c r="CO44" s="9"/>
    </row>
    <row r="45" spans="1:93" s="8" customFormat="1">
      <c r="A45" s="27">
        <v>37</v>
      </c>
      <c r="B45" s="27">
        <v>37</v>
      </c>
      <c r="C45" s="5" t="s">
        <v>141</v>
      </c>
      <c r="D45" s="5" t="s">
        <v>142</v>
      </c>
      <c r="E45" s="5" t="str">
        <f t="shared" si="0"/>
        <v>Jamulitrat, 2009</v>
      </c>
      <c r="F45" s="7">
        <v>2009</v>
      </c>
      <c r="G45" s="7" t="s">
        <v>54</v>
      </c>
      <c r="H45" s="10" t="s">
        <v>68</v>
      </c>
      <c r="I45" s="10" t="s">
        <v>82</v>
      </c>
      <c r="J45" s="10" t="s">
        <v>173</v>
      </c>
      <c r="K45" s="10" t="s">
        <v>174</v>
      </c>
      <c r="L45" s="6" t="s">
        <v>36</v>
      </c>
      <c r="M45" s="6" t="s">
        <v>675</v>
      </c>
      <c r="N45" s="10" t="s">
        <v>118</v>
      </c>
      <c r="O45" s="10" t="s">
        <v>45</v>
      </c>
      <c r="P45" s="10" t="s">
        <v>41</v>
      </c>
      <c r="Q45" s="7" t="s">
        <v>30</v>
      </c>
      <c r="R45" s="15" t="s">
        <v>32</v>
      </c>
      <c r="S45" s="7" t="s">
        <v>429</v>
      </c>
      <c r="T45" s="15" t="s">
        <v>783</v>
      </c>
      <c r="U45" s="7" t="s">
        <v>784</v>
      </c>
      <c r="V45" s="88">
        <v>198</v>
      </c>
      <c r="W45" s="14">
        <v>67</v>
      </c>
      <c r="X45" s="14">
        <f>+W45*0.522</f>
        <v>34.974000000000004</v>
      </c>
      <c r="Y45" s="14">
        <v>37</v>
      </c>
      <c r="Z45" s="14">
        <v>32</v>
      </c>
      <c r="AA45" s="14">
        <v>16</v>
      </c>
      <c r="AB45" s="14"/>
      <c r="AC45" s="14"/>
      <c r="AD45" s="14"/>
      <c r="AE45" s="14"/>
      <c r="AF45" s="14">
        <v>56.1</v>
      </c>
      <c r="AG45" s="14">
        <v>19.399999999999999</v>
      </c>
      <c r="AH45" s="13">
        <f>+W45*0.552</f>
        <v>36.984000000000002</v>
      </c>
      <c r="AI45" s="14"/>
      <c r="AJ45" s="14"/>
      <c r="AK45" s="13">
        <f>(1-0.373)*67</f>
        <v>42.009</v>
      </c>
      <c r="AL45" s="14"/>
      <c r="AM45" s="14"/>
      <c r="AN45" s="14"/>
      <c r="AO45" s="14"/>
      <c r="AP45" s="14"/>
      <c r="AQ45" s="14"/>
      <c r="AR45" s="14"/>
      <c r="AS45" s="14"/>
      <c r="AT45" s="14"/>
      <c r="AU45" s="14"/>
      <c r="AV45" s="14"/>
      <c r="AW45" s="13">
        <f>0.209*W45</f>
        <v>14.003</v>
      </c>
      <c r="AX45" s="13">
        <f>0.493*W45</f>
        <v>33.030999999999999</v>
      </c>
      <c r="AY45" s="13"/>
      <c r="AZ45" s="13">
        <f>+(0.224+0.075)*W45</f>
        <v>20.032999999999998</v>
      </c>
      <c r="BA45" s="14"/>
      <c r="BB45" s="14"/>
      <c r="BC45" s="20">
        <v>131</v>
      </c>
      <c r="BD45" s="20">
        <f>+BC45*0.199</f>
        <v>26.069000000000003</v>
      </c>
      <c r="BE45" s="20">
        <v>27</v>
      </c>
      <c r="BF45" s="20">
        <v>37</v>
      </c>
      <c r="BG45" s="20">
        <v>7</v>
      </c>
      <c r="BH45" s="20"/>
      <c r="BI45" s="20"/>
      <c r="BJ45" s="20"/>
      <c r="BK45" s="20"/>
      <c r="BL45" s="20">
        <v>50.8</v>
      </c>
      <c r="BM45" s="20">
        <v>19.7</v>
      </c>
      <c r="BN45" s="21">
        <f>131*0.405</f>
        <v>53.055000000000007</v>
      </c>
      <c r="BO45" s="20"/>
      <c r="BP45" s="20"/>
      <c r="BQ45" s="21">
        <f>(1-0.244)*131</f>
        <v>99.036000000000001</v>
      </c>
      <c r="BR45" s="20"/>
      <c r="BS45" s="20"/>
      <c r="BT45" s="20"/>
      <c r="BU45" s="20"/>
      <c r="BV45" s="20"/>
      <c r="BW45" s="20"/>
      <c r="BX45" s="20"/>
      <c r="BY45" s="20"/>
      <c r="BZ45" s="20"/>
      <c r="CA45" s="20"/>
      <c r="CB45" s="20"/>
      <c r="CC45" s="20">
        <f>0.153*BC45</f>
        <v>20.042999999999999</v>
      </c>
      <c r="CD45" s="20">
        <f>0.435*BC45</f>
        <v>56.984999999999999</v>
      </c>
      <c r="CE45" s="20"/>
      <c r="CF45" s="20">
        <f>+(0.244+0.168)*BC45</f>
        <v>53.972000000000001</v>
      </c>
      <c r="CG45" s="20"/>
      <c r="CH45" s="20"/>
      <c r="CI45" s="26">
        <v>3.2</v>
      </c>
      <c r="CJ45" s="26">
        <v>5.4</v>
      </c>
      <c r="CK45" s="26">
        <v>1.9</v>
      </c>
      <c r="CL45" s="26">
        <v>1.7</v>
      </c>
      <c r="CM45" s="26">
        <v>2.9</v>
      </c>
      <c r="CN45" s="26">
        <v>0.9</v>
      </c>
      <c r="CO45" s="9"/>
    </row>
    <row r="46" spans="1:93" s="8" customFormat="1">
      <c r="A46" s="27">
        <v>38</v>
      </c>
      <c r="B46" s="27">
        <v>38</v>
      </c>
      <c r="C46" s="5" t="s">
        <v>143</v>
      </c>
      <c r="D46" s="5" t="s">
        <v>144</v>
      </c>
      <c r="E46" s="5" t="str">
        <f t="shared" si="0"/>
        <v>Kalam, 2014</v>
      </c>
      <c r="F46" s="7">
        <v>2014</v>
      </c>
      <c r="G46" s="7" t="s">
        <v>48</v>
      </c>
      <c r="H46" s="10" t="s">
        <v>69</v>
      </c>
      <c r="I46" s="10" t="s">
        <v>81</v>
      </c>
      <c r="J46" s="10" t="s">
        <v>451</v>
      </c>
      <c r="K46" s="10" t="s">
        <v>452</v>
      </c>
      <c r="L46" s="10" t="s">
        <v>453</v>
      </c>
      <c r="M46" s="10" t="s">
        <v>408</v>
      </c>
      <c r="N46" s="10" t="s">
        <v>646</v>
      </c>
      <c r="O46" s="10" t="s">
        <v>56</v>
      </c>
      <c r="P46" s="10" t="s">
        <v>56</v>
      </c>
      <c r="Q46" s="7" t="s">
        <v>30</v>
      </c>
      <c r="R46" s="15" t="s">
        <v>32</v>
      </c>
      <c r="S46" s="7" t="s">
        <v>434</v>
      </c>
      <c r="T46" s="15" t="s">
        <v>434</v>
      </c>
      <c r="U46" s="7" t="s">
        <v>770</v>
      </c>
      <c r="V46" s="88">
        <v>243</v>
      </c>
      <c r="W46" s="14">
        <v>117</v>
      </c>
      <c r="X46" s="14">
        <v>54</v>
      </c>
      <c r="Y46" s="14"/>
      <c r="Z46" s="14"/>
      <c r="AA46" s="14"/>
      <c r="AB46" s="14">
        <v>32</v>
      </c>
      <c r="AC46" s="14"/>
      <c r="AD46" s="14"/>
      <c r="AE46" s="14"/>
      <c r="AF46" s="14">
        <v>42.5</v>
      </c>
      <c r="AG46" s="14">
        <v>18.8</v>
      </c>
      <c r="AH46" s="14">
        <f>+W46-77</f>
        <v>40</v>
      </c>
      <c r="AI46" s="14">
        <v>24</v>
      </c>
      <c r="AJ46" s="14">
        <v>73</v>
      </c>
      <c r="AK46" s="14"/>
      <c r="AL46" s="14"/>
      <c r="AM46" s="14"/>
      <c r="AN46" s="14"/>
      <c r="AO46" s="14"/>
      <c r="AP46" s="14"/>
      <c r="AQ46" s="14"/>
      <c r="AR46" s="14"/>
      <c r="AS46" s="14"/>
      <c r="AT46" s="14">
        <v>114</v>
      </c>
      <c r="AU46" s="14"/>
      <c r="AV46" s="14">
        <v>42</v>
      </c>
      <c r="AW46" s="14"/>
      <c r="AX46" s="14">
        <v>58</v>
      </c>
      <c r="AY46" s="14">
        <v>3</v>
      </c>
      <c r="AZ46" s="14">
        <v>14</v>
      </c>
      <c r="BA46" s="14"/>
      <c r="BB46" s="14"/>
      <c r="BC46" s="20">
        <v>126</v>
      </c>
      <c r="BD46" s="20">
        <v>34</v>
      </c>
      <c r="BE46" s="20"/>
      <c r="BF46" s="20"/>
      <c r="BG46" s="20"/>
      <c r="BH46" s="20">
        <v>36</v>
      </c>
      <c r="BI46" s="20"/>
      <c r="BJ46" s="20"/>
      <c r="BK46" s="20"/>
      <c r="BL46" s="20">
        <v>42.7</v>
      </c>
      <c r="BM46" s="20">
        <v>15.5</v>
      </c>
      <c r="BN46" s="20">
        <f>126-72</f>
        <v>54</v>
      </c>
      <c r="BO46" s="20">
        <v>19</v>
      </c>
      <c r="BP46" s="20">
        <v>80</v>
      </c>
      <c r="BQ46" s="20"/>
      <c r="BR46" s="20"/>
      <c r="BS46" s="20"/>
      <c r="BT46" s="20"/>
      <c r="BU46" s="20"/>
      <c r="BV46" s="20"/>
      <c r="BW46" s="20"/>
      <c r="BX46" s="20"/>
      <c r="BY46" s="20"/>
      <c r="BZ46" s="20">
        <v>119</v>
      </c>
      <c r="CA46" s="20"/>
      <c r="CB46" s="20">
        <v>26</v>
      </c>
      <c r="CC46" s="20"/>
      <c r="CD46" s="20">
        <v>68</v>
      </c>
      <c r="CE46" s="20">
        <v>2</v>
      </c>
      <c r="CF46" s="20">
        <f>8+11+11</f>
        <v>30</v>
      </c>
      <c r="CG46" s="20"/>
      <c r="CH46" s="20"/>
      <c r="CI46" s="26">
        <v>2.3199999999999998</v>
      </c>
      <c r="CJ46" s="26">
        <v>4</v>
      </c>
      <c r="CK46" s="26">
        <v>1.26</v>
      </c>
      <c r="CL46" s="26">
        <v>2.33</v>
      </c>
      <c r="CM46" s="26">
        <v>4</v>
      </c>
      <c r="CN46" s="26">
        <v>1.35</v>
      </c>
      <c r="CO46" s="9"/>
    </row>
    <row r="47" spans="1:93" s="8" customFormat="1">
      <c r="A47" s="27">
        <v>39</v>
      </c>
      <c r="B47" s="27">
        <v>39</v>
      </c>
      <c r="C47" s="5" t="s">
        <v>145</v>
      </c>
      <c r="D47" s="5" t="s">
        <v>146</v>
      </c>
      <c r="E47" s="5" t="str">
        <f t="shared" si="0"/>
        <v>Li, 2019</v>
      </c>
      <c r="F47" s="7">
        <v>2019</v>
      </c>
      <c r="G47" s="7" t="s">
        <v>95</v>
      </c>
      <c r="H47" s="10" t="s">
        <v>68</v>
      </c>
      <c r="I47" s="10" t="s">
        <v>96</v>
      </c>
      <c r="J47" s="10" t="s">
        <v>175</v>
      </c>
      <c r="K47" s="10" t="s">
        <v>667</v>
      </c>
      <c r="L47" s="10" t="s">
        <v>97</v>
      </c>
      <c r="M47" s="10" t="s">
        <v>176</v>
      </c>
      <c r="N47" s="10" t="s">
        <v>655</v>
      </c>
      <c r="O47" s="10" t="s">
        <v>45</v>
      </c>
      <c r="P47" s="10" t="s">
        <v>41</v>
      </c>
      <c r="Q47" s="7" t="s">
        <v>30</v>
      </c>
      <c r="R47" s="15" t="s">
        <v>32</v>
      </c>
      <c r="S47" s="7" t="s">
        <v>434</v>
      </c>
      <c r="T47" s="15" t="s">
        <v>779</v>
      </c>
      <c r="U47" s="7" t="s">
        <v>780</v>
      </c>
      <c r="V47" s="88">
        <v>40</v>
      </c>
      <c r="W47" s="14">
        <v>19</v>
      </c>
      <c r="X47" s="14">
        <v>8</v>
      </c>
      <c r="Y47" s="14">
        <v>21</v>
      </c>
      <c r="Z47" s="56"/>
      <c r="AA47" s="14"/>
      <c r="AB47" s="14">
        <v>11</v>
      </c>
      <c r="AC47" s="14">
        <v>12</v>
      </c>
      <c r="AD47" s="14"/>
      <c r="AE47" s="14"/>
      <c r="AF47" s="14"/>
      <c r="AG47" s="14"/>
      <c r="AH47" s="14">
        <v>5</v>
      </c>
      <c r="AI47" s="14">
        <v>8</v>
      </c>
      <c r="AJ47" s="14"/>
      <c r="AK47" s="14">
        <v>0</v>
      </c>
      <c r="AL47" s="14">
        <v>2</v>
      </c>
      <c r="AM47" s="14"/>
      <c r="AN47" s="14"/>
      <c r="AO47" s="14">
        <v>1</v>
      </c>
      <c r="AP47" s="14"/>
      <c r="AQ47" s="14"/>
      <c r="AR47" s="14">
        <v>2</v>
      </c>
      <c r="AS47" s="14">
        <v>4</v>
      </c>
      <c r="AT47" s="14"/>
      <c r="AU47" s="14"/>
      <c r="AV47" s="14"/>
      <c r="AW47" s="14">
        <v>6</v>
      </c>
      <c r="AX47" s="14"/>
      <c r="AY47" s="14"/>
      <c r="AZ47" s="14"/>
      <c r="BA47" s="14" t="s">
        <v>545</v>
      </c>
      <c r="BB47" s="14">
        <v>3.89</v>
      </c>
      <c r="BC47" s="20">
        <v>21</v>
      </c>
      <c r="BD47" s="20">
        <v>2</v>
      </c>
      <c r="BE47" s="20">
        <v>18</v>
      </c>
      <c r="BF47" s="20"/>
      <c r="BG47" s="20"/>
      <c r="BH47" s="20">
        <v>5</v>
      </c>
      <c r="BI47" s="20">
        <v>8</v>
      </c>
      <c r="BJ47" s="20"/>
      <c r="BK47" s="20"/>
      <c r="BL47" s="20"/>
      <c r="BM47" s="20"/>
      <c r="BN47" s="20">
        <v>4</v>
      </c>
      <c r="BO47" s="20">
        <v>12</v>
      </c>
      <c r="BP47" s="20"/>
      <c r="BQ47" s="20">
        <v>0</v>
      </c>
      <c r="BR47" s="20">
        <v>2</v>
      </c>
      <c r="BS47" s="20"/>
      <c r="BT47" s="20"/>
      <c r="BU47" s="20">
        <v>3</v>
      </c>
      <c r="BV47" s="20"/>
      <c r="BW47" s="20"/>
      <c r="BX47" s="20">
        <v>1</v>
      </c>
      <c r="BY47" s="20">
        <v>3</v>
      </c>
      <c r="BZ47" s="20"/>
      <c r="CA47" s="20"/>
      <c r="CB47" s="20"/>
      <c r="CC47" s="20">
        <v>15</v>
      </c>
      <c r="CD47" s="20"/>
      <c r="CE47" s="20"/>
      <c r="CF47" s="20"/>
      <c r="CG47" s="20" t="s">
        <v>546</v>
      </c>
      <c r="CH47" s="20">
        <v>2.19</v>
      </c>
      <c r="CI47" s="26"/>
      <c r="CJ47" s="26"/>
      <c r="CK47" s="26"/>
      <c r="CL47" s="26"/>
      <c r="CM47" s="26"/>
      <c r="CN47" s="26"/>
      <c r="CO47" s="9"/>
    </row>
    <row r="48" spans="1:93" s="8" customFormat="1">
      <c r="A48" s="27">
        <v>40</v>
      </c>
      <c r="B48" s="27">
        <v>40</v>
      </c>
      <c r="C48" s="5" t="s">
        <v>147</v>
      </c>
      <c r="D48" s="5" t="s">
        <v>148</v>
      </c>
      <c r="E48" s="5" t="str">
        <f t="shared" si="0"/>
        <v>Li, 2017</v>
      </c>
      <c r="F48" s="7">
        <v>2017</v>
      </c>
      <c r="G48" s="7" t="s">
        <v>95</v>
      </c>
      <c r="H48" s="10" t="s">
        <v>68</v>
      </c>
      <c r="I48" s="10" t="s">
        <v>96</v>
      </c>
      <c r="J48" s="10" t="s">
        <v>454</v>
      </c>
      <c r="K48" s="10" t="s">
        <v>455</v>
      </c>
      <c r="L48" s="10" t="s">
        <v>97</v>
      </c>
      <c r="M48" s="10" t="s">
        <v>176</v>
      </c>
      <c r="N48" s="10" t="s">
        <v>456</v>
      </c>
      <c r="O48" s="10" t="s">
        <v>56</v>
      </c>
      <c r="P48" s="10" t="s">
        <v>56</v>
      </c>
      <c r="Q48" s="7" t="s">
        <v>30</v>
      </c>
      <c r="R48" s="15" t="s">
        <v>32</v>
      </c>
      <c r="S48" s="7" t="s">
        <v>434</v>
      </c>
      <c r="T48" s="15" t="s">
        <v>434</v>
      </c>
      <c r="U48" s="7" t="s">
        <v>770</v>
      </c>
      <c r="V48" s="88">
        <v>104</v>
      </c>
      <c r="W48" s="14">
        <v>76</v>
      </c>
      <c r="X48" s="14">
        <v>23</v>
      </c>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20">
        <f>78+26-76</f>
        <v>28</v>
      </c>
      <c r="BD48" s="20">
        <v>3</v>
      </c>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6"/>
      <c r="CJ48" s="26"/>
      <c r="CK48" s="26"/>
      <c r="CL48" s="26"/>
      <c r="CM48" s="26"/>
      <c r="CN48" s="26"/>
      <c r="CO48" s="9"/>
    </row>
    <row r="49" spans="1:93" s="8" customFormat="1">
      <c r="A49" s="27">
        <v>41</v>
      </c>
      <c r="B49" s="27">
        <v>41</v>
      </c>
      <c r="C49" s="5" t="s">
        <v>149</v>
      </c>
      <c r="D49" s="5" t="s">
        <v>150</v>
      </c>
      <c r="E49" s="5" t="str">
        <f t="shared" si="0"/>
        <v>Li, 2018</v>
      </c>
      <c r="F49" s="7">
        <v>2018</v>
      </c>
      <c r="G49" s="7" t="s">
        <v>95</v>
      </c>
      <c r="H49" s="10" t="s">
        <v>68</v>
      </c>
      <c r="I49" s="10" t="s">
        <v>96</v>
      </c>
      <c r="J49" s="10" t="s">
        <v>457</v>
      </c>
      <c r="K49" s="10" t="s">
        <v>312</v>
      </c>
      <c r="L49" s="10" t="s">
        <v>107</v>
      </c>
      <c r="M49" s="10" t="s">
        <v>642</v>
      </c>
      <c r="N49" s="10" t="s">
        <v>458</v>
      </c>
      <c r="O49" s="10" t="s">
        <v>45</v>
      </c>
      <c r="P49" s="10" t="s">
        <v>41</v>
      </c>
      <c r="Q49" s="7" t="s">
        <v>30</v>
      </c>
      <c r="R49" s="15" t="s">
        <v>32</v>
      </c>
      <c r="S49" s="7" t="s">
        <v>429</v>
      </c>
      <c r="T49" s="15" t="s">
        <v>777</v>
      </c>
      <c r="U49" s="7" t="s">
        <v>778</v>
      </c>
      <c r="V49" s="88">
        <f>63*2</f>
        <v>126</v>
      </c>
      <c r="W49" s="14">
        <v>63</v>
      </c>
      <c r="X49" s="14">
        <v>17</v>
      </c>
      <c r="Y49" s="14">
        <v>30</v>
      </c>
      <c r="Z49" s="14"/>
      <c r="AA49" s="14"/>
      <c r="AB49" s="14"/>
      <c r="AC49" s="14"/>
      <c r="AD49" s="14"/>
      <c r="AE49" s="14"/>
      <c r="AF49" s="14">
        <v>63</v>
      </c>
      <c r="AG49" s="14"/>
      <c r="AH49" s="14">
        <f>63-44</f>
        <v>19</v>
      </c>
      <c r="AI49" s="14">
        <v>15</v>
      </c>
      <c r="AJ49" s="14"/>
      <c r="AK49" s="14"/>
      <c r="AL49" s="14">
        <v>12</v>
      </c>
      <c r="AM49" s="14">
        <v>18</v>
      </c>
      <c r="AN49" s="14">
        <v>13</v>
      </c>
      <c r="AO49" s="14">
        <v>14</v>
      </c>
      <c r="AP49" s="14"/>
      <c r="AQ49" s="14">
        <v>13</v>
      </c>
      <c r="AR49" s="14">
        <v>15</v>
      </c>
      <c r="AS49" s="14">
        <v>20</v>
      </c>
      <c r="AT49" s="14"/>
      <c r="AU49" s="14"/>
      <c r="AV49" s="14">
        <v>13</v>
      </c>
      <c r="AW49" s="14">
        <v>15</v>
      </c>
      <c r="AX49" s="14"/>
      <c r="AY49" s="14">
        <v>15</v>
      </c>
      <c r="AZ49" s="14">
        <v>20</v>
      </c>
      <c r="BA49" s="14"/>
      <c r="BB49" s="14"/>
      <c r="BC49" s="20">
        <v>63</v>
      </c>
      <c r="BD49" s="20">
        <v>8</v>
      </c>
      <c r="BE49" s="20">
        <v>21</v>
      </c>
      <c r="BF49" s="20"/>
      <c r="BG49" s="20"/>
      <c r="BH49" s="20"/>
      <c r="BI49" s="20"/>
      <c r="BJ49" s="20"/>
      <c r="BK49" s="20"/>
      <c r="BL49" s="20">
        <v>62</v>
      </c>
      <c r="BM49" s="20"/>
      <c r="BN49" s="20">
        <v>19</v>
      </c>
      <c r="BO49" s="20">
        <v>17</v>
      </c>
      <c r="BP49" s="20"/>
      <c r="BQ49" s="20"/>
      <c r="BR49" s="20">
        <v>9</v>
      </c>
      <c r="BS49" s="20">
        <v>16</v>
      </c>
      <c r="BT49" s="20">
        <v>10</v>
      </c>
      <c r="BU49" s="20">
        <v>11</v>
      </c>
      <c r="BV49" s="20"/>
      <c r="BW49" s="20">
        <v>11</v>
      </c>
      <c r="BX49" s="20">
        <v>16</v>
      </c>
      <c r="BY49" s="20">
        <v>20</v>
      </c>
      <c r="BZ49" s="20"/>
      <c r="CA49" s="20"/>
      <c r="CB49" s="20">
        <v>10</v>
      </c>
      <c r="CC49" s="20">
        <v>19</v>
      </c>
      <c r="CD49" s="20"/>
      <c r="CE49" s="20">
        <v>4</v>
      </c>
      <c r="CF49" s="20">
        <v>30</v>
      </c>
      <c r="CG49" s="20"/>
      <c r="CH49" s="20"/>
      <c r="CI49" s="26"/>
      <c r="CJ49" s="26"/>
      <c r="CK49" s="26"/>
      <c r="CL49" s="26"/>
      <c r="CM49" s="26"/>
      <c r="CN49" s="26"/>
      <c r="CO49" s="9"/>
    </row>
    <row r="50" spans="1:93" s="8" customFormat="1">
      <c r="A50" s="27">
        <v>42</v>
      </c>
      <c r="B50" s="27">
        <v>42</v>
      </c>
      <c r="C50" s="5" t="s">
        <v>151</v>
      </c>
      <c r="D50" s="5" t="s">
        <v>152</v>
      </c>
      <c r="E50" s="5" t="str">
        <f t="shared" si="0"/>
        <v>Li, 2017</v>
      </c>
      <c r="F50" s="7">
        <v>2017</v>
      </c>
      <c r="G50" s="7" t="s">
        <v>95</v>
      </c>
      <c r="H50" s="10" t="s">
        <v>68</v>
      </c>
      <c r="I50" s="10" t="s">
        <v>96</v>
      </c>
      <c r="J50" s="10" t="s">
        <v>177</v>
      </c>
      <c r="K50" s="10" t="s">
        <v>460</v>
      </c>
      <c r="L50" s="10" t="s">
        <v>176</v>
      </c>
      <c r="M50" s="10" t="s">
        <v>176</v>
      </c>
      <c r="N50" s="10" t="s">
        <v>459</v>
      </c>
      <c r="O50" s="10" t="s">
        <v>45</v>
      </c>
      <c r="P50" s="10" t="s">
        <v>41</v>
      </c>
      <c r="Q50" s="7" t="s">
        <v>30</v>
      </c>
      <c r="R50" s="15" t="s">
        <v>32</v>
      </c>
      <c r="S50" s="7" t="s">
        <v>429</v>
      </c>
      <c r="T50" s="15" t="s">
        <v>773</v>
      </c>
      <c r="U50" s="7" t="s">
        <v>774</v>
      </c>
      <c r="V50" s="88">
        <f>122+26</f>
        <v>148</v>
      </c>
      <c r="W50" s="14">
        <v>26</v>
      </c>
      <c r="X50" s="14">
        <v>17</v>
      </c>
      <c r="Y50" s="14">
        <v>25.4</v>
      </c>
      <c r="Z50" s="14">
        <v>11.1</v>
      </c>
      <c r="AA50" s="14"/>
      <c r="AB50" s="14">
        <v>20</v>
      </c>
      <c r="AC50" s="14"/>
      <c r="AD50" s="14"/>
      <c r="AE50" s="14"/>
      <c r="AF50" s="14"/>
      <c r="AG50" s="14"/>
      <c r="AH50" s="14">
        <v>10</v>
      </c>
      <c r="AI50" s="14"/>
      <c r="AJ50" s="14"/>
      <c r="AK50" s="14">
        <v>0</v>
      </c>
      <c r="AL50" s="14">
        <v>9</v>
      </c>
      <c r="AM50" s="14"/>
      <c r="AN50" s="14">
        <v>19</v>
      </c>
      <c r="AO50" s="14">
        <v>4</v>
      </c>
      <c r="AP50" s="14">
        <v>13</v>
      </c>
      <c r="AQ50" s="14">
        <v>13</v>
      </c>
      <c r="AR50" s="14">
        <v>6</v>
      </c>
      <c r="AS50" s="14"/>
      <c r="AT50" s="14"/>
      <c r="AU50" s="14"/>
      <c r="AV50" s="14">
        <v>0</v>
      </c>
      <c r="AW50" s="14">
        <v>11</v>
      </c>
      <c r="AX50" s="14">
        <v>10</v>
      </c>
      <c r="AY50" s="14"/>
      <c r="AZ50" s="14">
        <v>5</v>
      </c>
      <c r="BA50" s="14"/>
      <c r="BB50" s="14"/>
      <c r="BC50" s="20">
        <v>122</v>
      </c>
      <c r="BD50" s="20">
        <v>21</v>
      </c>
      <c r="BE50" s="20">
        <v>21</v>
      </c>
      <c r="BF50" s="20">
        <v>12.7</v>
      </c>
      <c r="BG50" s="20"/>
      <c r="BH50" s="20">
        <v>10</v>
      </c>
      <c r="BI50" s="20"/>
      <c r="BJ50" s="20"/>
      <c r="BK50" s="20"/>
      <c r="BL50" s="20"/>
      <c r="BM50" s="20"/>
      <c r="BN50" s="20">
        <f>122-59</f>
        <v>63</v>
      </c>
      <c r="BO50" s="20"/>
      <c r="BP50" s="20"/>
      <c r="BQ50" s="20">
        <v>30</v>
      </c>
      <c r="BR50" s="20">
        <v>44</v>
      </c>
      <c r="BS50" s="20"/>
      <c r="BT50" s="20">
        <v>54</v>
      </c>
      <c r="BU50" s="20">
        <v>44</v>
      </c>
      <c r="BV50" s="20">
        <v>24</v>
      </c>
      <c r="BW50" s="20">
        <v>33</v>
      </c>
      <c r="BX50" s="20">
        <v>9</v>
      </c>
      <c r="BY50" s="20"/>
      <c r="BZ50" s="20"/>
      <c r="CA50" s="20"/>
      <c r="CB50" s="20">
        <v>42</v>
      </c>
      <c r="CC50" s="20">
        <v>26</v>
      </c>
      <c r="CD50" s="20">
        <v>23</v>
      </c>
      <c r="CE50" s="20"/>
      <c r="CF50" s="20">
        <v>31</v>
      </c>
      <c r="CG50" s="20"/>
      <c r="CH50" s="20"/>
      <c r="CI50" s="26"/>
      <c r="CJ50" s="26"/>
      <c r="CK50" s="26"/>
      <c r="CL50" s="26"/>
      <c r="CM50" s="26"/>
      <c r="CN50" s="26"/>
      <c r="CO50" s="9"/>
    </row>
    <row r="51" spans="1:93" s="8" customFormat="1">
      <c r="A51" s="27">
        <v>43</v>
      </c>
      <c r="B51" s="27">
        <v>43</v>
      </c>
      <c r="C51" s="5" t="s">
        <v>185</v>
      </c>
      <c r="D51" s="5" t="s">
        <v>186</v>
      </c>
      <c r="E51" s="5" t="str">
        <f t="shared" si="0"/>
        <v>Li, 2020</v>
      </c>
      <c r="F51" s="7">
        <v>2020</v>
      </c>
      <c r="G51" s="7" t="s">
        <v>95</v>
      </c>
      <c r="H51" s="10" t="s">
        <v>68</v>
      </c>
      <c r="I51" s="10" t="s">
        <v>96</v>
      </c>
      <c r="J51" s="10" t="s">
        <v>296</v>
      </c>
      <c r="K51" s="10" t="s">
        <v>461</v>
      </c>
      <c r="L51" s="10" t="s">
        <v>97</v>
      </c>
      <c r="M51" s="10" t="s">
        <v>176</v>
      </c>
      <c r="N51" s="10" t="s">
        <v>650</v>
      </c>
      <c r="O51" s="10" t="s">
        <v>45</v>
      </c>
      <c r="P51" s="10" t="s">
        <v>41</v>
      </c>
      <c r="Q51" s="7" t="s">
        <v>30</v>
      </c>
      <c r="R51" s="15" t="s">
        <v>32</v>
      </c>
      <c r="S51" s="7" t="s">
        <v>429</v>
      </c>
      <c r="T51" s="15" t="s">
        <v>779</v>
      </c>
      <c r="U51" s="7" t="s">
        <v>780</v>
      </c>
      <c r="V51" s="88">
        <f>328+W51</f>
        <v>492</v>
      </c>
      <c r="W51" s="14">
        <v>164</v>
      </c>
      <c r="X51" s="14">
        <v>72</v>
      </c>
      <c r="Y51" s="14">
        <v>31</v>
      </c>
      <c r="Z51" s="14">
        <v>30</v>
      </c>
      <c r="AA51" s="14">
        <v>14</v>
      </c>
      <c r="AB51" s="14">
        <v>116</v>
      </c>
      <c r="AC51" s="14"/>
      <c r="AD51" s="14"/>
      <c r="AE51" s="14"/>
      <c r="AF51" s="14">
        <v>56</v>
      </c>
      <c r="AG51" s="14">
        <v>29</v>
      </c>
      <c r="AH51" s="14">
        <f>+W51-110</f>
        <v>54</v>
      </c>
      <c r="AI51" s="14">
        <v>87</v>
      </c>
      <c r="AJ51" s="14">
        <v>121</v>
      </c>
      <c r="AK51" s="14"/>
      <c r="AL51" s="14">
        <v>34</v>
      </c>
      <c r="AM51" s="14">
        <v>72</v>
      </c>
      <c r="AN51" s="14">
        <v>37</v>
      </c>
      <c r="AO51" s="14">
        <v>19</v>
      </c>
      <c r="AP51" s="14"/>
      <c r="AQ51" s="14">
        <v>22</v>
      </c>
      <c r="AR51" s="14">
        <v>14</v>
      </c>
      <c r="AS51" s="14">
        <v>24</v>
      </c>
      <c r="AT51" s="14"/>
      <c r="AU51" s="14"/>
      <c r="AV51" s="14"/>
      <c r="AW51" s="14"/>
      <c r="AX51" s="14"/>
      <c r="AY51" s="14"/>
      <c r="AZ51" s="14"/>
      <c r="BA51" s="14">
        <v>12</v>
      </c>
      <c r="BB51" s="14"/>
      <c r="BC51" s="20">
        <v>328</v>
      </c>
      <c r="BD51" s="20">
        <v>49</v>
      </c>
      <c r="BE51" s="20">
        <v>19</v>
      </c>
      <c r="BF51" s="20">
        <v>19</v>
      </c>
      <c r="BG51" s="20">
        <v>4</v>
      </c>
      <c r="BH51" s="20">
        <v>58</v>
      </c>
      <c r="BI51" s="20"/>
      <c r="BJ51" s="20"/>
      <c r="BK51" s="20"/>
      <c r="BL51" s="20">
        <v>59</v>
      </c>
      <c r="BM51" s="20">
        <v>19</v>
      </c>
      <c r="BN51" s="20">
        <f>+BC51-195</f>
        <v>133</v>
      </c>
      <c r="BO51" s="20">
        <v>82</v>
      </c>
      <c r="BP51" s="20">
        <v>214</v>
      </c>
      <c r="BQ51" s="20"/>
      <c r="BR51" s="20">
        <v>124</v>
      </c>
      <c r="BS51" s="20">
        <v>112</v>
      </c>
      <c r="BT51" s="20">
        <v>67</v>
      </c>
      <c r="BU51" s="20">
        <v>45</v>
      </c>
      <c r="BV51" s="20"/>
      <c r="BW51" s="20">
        <v>20</v>
      </c>
      <c r="BX51" s="20">
        <v>9</v>
      </c>
      <c r="BY51" s="20">
        <v>55</v>
      </c>
      <c r="BZ51" s="20"/>
      <c r="CA51" s="20"/>
      <c r="CB51" s="20"/>
      <c r="CC51" s="20"/>
      <c r="CD51" s="20"/>
      <c r="CE51" s="20"/>
      <c r="CF51" s="20"/>
      <c r="CG51" s="20">
        <v>8</v>
      </c>
      <c r="CH51" s="20"/>
      <c r="CI51" s="26"/>
      <c r="CJ51" s="26"/>
      <c r="CK51" s="26"/>
      <c r="CL51" s="26"/>
      <c r="CM51" s="26"/>
      <c r="CN51" s="26"/>
      <c r="CO51" s="9"/>
    </row>
    <row r="52" spans="1:93" s="8" customFormat="1">
      <c r="A52" s="27">
        <v>44</v>
      </c>
      <c r="B52" s="15">
        <v>44</v>
      </c>
      <c r="C52" s="5" t="s">
        <v>960</v>
      </c>
      <c r="D52" s="5" t="s">
        <v>1060</v>
      </c>
      <c r="E52" s="5" t="str">
        <f t="shared" si="0"/>
        <v>Liang, 2021</v>
      </c>
      <c r="F52" s="7">
        <v>2021</v>
      </c>
      <c r="G52" s="7" t="s">
        <v>95</v>
      </c>
      <c r="H52" s="10" t="s">
        <v>68</v>
      </c>
      <c r="I52" s="10" t="s">
        <v>96</v>
      </c>
      <c r="J52" s="10" t="s">
        <v>1028</v>
      </c>
      <c r="K52" s="10" t="s">
        <v>1029</v>
      </c>
      <c r="L52" s="10" t="s">
        <v>97</v>
      </c>
      <c r="M52" s="10" t="s">
        <v>176</v>
      </c>
      <c r="N52" s="10" t="s">
        <v>408</v>
      </c>
      <c r="O52" s="10" t="s">
        <v>45</v>
      </c>
      <c r="P52" s="10" t="s">
        <v>41</v>
      </c>
      <c r="Q52" s="7" t="s">
        <v>30</v>
      </c>
      <c r="R52" s="15" t="s">
        <v>32</v>
      </c>
      <c r="S52" s="7" t="s">
        <v>429</v>
      </c>
      <c r="T52" s="15" t="s">
        <v>779</v>
      </c>
      <c r="U52" s="7" t="s">
        <v>780</v>
      </c>
      <c r="V52" s="88">
        <f>56+47</f>
        <v>103</v>
      </c>
      <c r="W52" s="14">
        <v>56</v>
      </c>
      <c r="X52" s="14">
        <v>22</v>
      </c>
      <c r="Y52" s="14">
        <v>28.5</v>
      </c>
      <c r="Z52" s="14"/>
      <c r="AA52" s="14">
        <v>14</v>
      </c>
      <c r="AB52" s="14">
        <v>20</v>
      </c>
      <c r="AC52" s="14"/>
      <c r="AD52" s="14"/>
      <c r="AE52" s="14"/>
      <c r="AF52" s="14">
        <v>27</v>
      </c>
      <c r="AG52" s="14"/>
      <c r="AH52" s="14">
        <v>17</v>
      </c>
      <c r="AI52" s="14">
        <v>20</v>
      </c>
      <c r="AJ52" s="14">
        <v>51</v>
      </c>
      <c r="AK52" s="14">
        <v>8</v>
      </c>
      <c r="AL52" s="14">
        <v>6</v>
      </c>
      <c r="AM52" s="14">
        <v>3</v>
      </c>
      <c r="AN52" s="14">
        <v>4</v>
      </c>
      <c r="AO52" s="14">
        <v>2</v>
      </c>
      <c r="AP52" s="14"/>
      <c r="AQ52" s="14">
        <v>5</v>
      </c>
      <c r="AR52" s="14">
        <v>1</v>
      </c>
      <c r="AS52" s="14"/>
      <c r="AT52" s="14"/>
      <c r="AU52" s="14"/>
      <c r="AV52" s="14">
        <v>5</v>
      </c>
      <c r="AW52" s="14">
        <v>16</v>
      </c>
      <c r="AX52" s="14">
        <f>6+12</f>
        <v>18</v>
      </c>
      <c r="AY52" s="14">
        <f>13+3</f>
        <v>16</v>
      </c>
      <c r="AZ52" s="14">
        <v>1</v>
      </c>
      <c r="BA52" s="14"/>
      <c r="BB52" s="14"/>
      <c r="BC52" s="20">
        <v>47</v>
      </c>
      <c r="BD52" s="20">
        <v>9</v>
      </c>
      <c r="BE52" s="20">
        <v>28</v>
      </c>
      <c r="BF52" s="20"/>
      <c r="BG52" s="20">
        <v>15</v>
      </c>
      <c r="BH52" s="20">
        <v>13</v>
      </c>
      <c r="BI52" s="20"/>
      <c r="BJ52" s="20"/>
      <c r="BK52" s="20"/>
      <c r="BL52" s="20">
        <v>10</v>
      </c>
      <c r="BM52" s="20"/>
      <c r="BN52" s="20">
        <v>13</v>
      </c>
      <c r="BO52" s="20">
        <v>14</v>
      </c>
      <c r="BP52" s="20">
        <v>42</v>
      </c>
      <c r="BQ52" s="20">
        <v>11</v>
      </c>
      <c r="BR52" s="20">
        <v>8</v>
      </c>
      <c r="BS52" s="20">
        <v>0</v>
      </c>
      <c r="BT52" s="20">
        <v>1</v>
      </c>
      <c r="BU52" s="20">
        <v>6</v>
      </c>
      <c r="BV52" s="20">
        <v>1</v>
      </c>
      <c r="BW52" s="20">
        <v>1</v>
      </c>
      <c r="BX52" s="20">
        <v>3</v>
      </c>
      <c r="BY52" s="20"/>
      <c r="BZ52" s="20"/>
      <c r="CA52" s="20"/>
      <c r="CB52" s="20">
        <v>4</v>
      </c>
      <c r="CC52" s="20">
        <v>14</v>
      </c>
      <c r="CD52" s="20">
        <v>16</v>
      </c>
      <c r="CE52" s="20">
        <v>12</v>
      </c>
      <c r="CF52" s="20">
        <v>1</v>
      </c>
      <c r="CG52" s="20"/>
      <c r="CH52" s="20"/>
      <c r="CI52" s="26"/>
      <c r="CJ52" s="26"/>
      <c r="CK52" s="26"/>
      <c r="CL52" s="26"/>
      <c r="CM52" s="26"/>
      <c r="CN52" s="26"/>
      <c r="CO52" s="9"/>
    </row>
    <row r="53" spans="1:93" s="8" customFormat="1">
      <c r="A53" s="27">
        <v>45</v>
      </c>
      <c r="B53" s="130" t="s">
        <v>1001</v>
      </c>
      <c r="C53" s="5" t="s">
        <v>187</v>
      </c>
      <c r="D53" s="5" t="s">
        <v>188</v>
      </c>
      <c r="E53" s="5" t="str">
        <f t="shared" si="0"/>
        <v>Lim, 2016</v>
      </c>
      <c r="F53" s="7">
        <v>2016</v>
      </c>
      <c r="G53" s="7" t="s">
        <v>54</v>
      </c>
      <c r="H53" s="10" t="s">
        <v>68</v>
      </c>
      <c r="I53" s="10" t="s">
        <v>82</v>
      </c>
      <c r="J53" s="10" t="s">
        <v>297</v>
      </c>
      <c r="K53" s="10" t="s">
        <v>367</v>
      </c>
      <c r="L53" s="10" t="s">
        <v>62</v>
      </c>
      <c r="M53" s="10" t="s">
        <v>643</v>
      </c>
      <c r="N53" s="10" t="s">
        <v>408</v>
      </c>
      <c r="O53" s="10" t="s">
        <v>56</v>
      </c>
      <c r="P53" s="10" t="s">
        <v>56</v>
      </c>
      <c r="Q53" s="7" t="s">
        <v>51</v>
      </c>
      <c r="R53" s="22" t="s">
        <v>52</v>
      </c>
      <c r="S53" s="7" t="s">
        <v>434</v>
      </c>
      <c r="T53" s="15" t="s">
        <v>434</v>
      </c>
      <c r="U53" s="7" t="s">
        <v>770</v>
      </c>
      <c r="V53" s="88"/>
      <c r="W53" s="14">
        <v>2017</v>
      </c>
      <c r="X53" s="14">
        <v>299</v>
      </c>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6"/>
      <c r="CJ53" s="26"/>
      <c r="CK53" s="26"/>
      <c r="CL53" s="26"/>
      <c r="CM53" s="26"/>
      <c r="CN53" s="26"/>
      <c r="CO53" s="9" t="s">
        <v>532</v>
      </c>
    </row>
    <row r="54" spans="1:93" s="8" customFormat="1">
      <c r="A54" s="27">
        <v>45</v>
      </c>
      <c r="B54" s="130" t="s">
        <v>1002</v>
      </c>
      <c r="C54" s="5" t="s">
        <v>187</v>
      </c>
      <c r="D54" s="5" t="s">
        <v>188</v>
      </c>
      <c r="E54" s="5" t="str">
        <f t="shared" si="0"/>
        <v>Lim, 2016</v>
      </c>
      <c r="F54" s="7">
        <v>2016</v>
      </c>
      <c r="G54" s="7" t="s">
        <v>54</v>
      </c>
      <c r="H54" s="10" t="s">
        <v>68</v>
      </c>
      <c r="I54" s="10" t="s">
        <v>82</v>
      </c>
      <c r="J54" s="10" t="s">
        <v>297</v>
      </c>
      <c r="K54" s="10" t="s">
        <v>367</v>
      </c>
      <c r="L54" s="10" t="s">
        <v>169</v>
      </c>
      <c r="M54" s="10" t="s">
        <v>176</v>
      </c>
      <c r="N54" s="10" t="s">
        <v>408</v>
      </c>
      <c r="O54" s="10" t="s">
        <v>56</v>
      </c>
      <c r="P54" s="10" t="s">
        <v>56</v>
      </c>
      <c r="Q54" s="7" t="s">
        <v>30</v>
      </c>
      <c r="R54" s="15" t="s">
        <v>32</v>
      </c>
      <c r="S54" s="7" t="s">
        <v>434</v>
      </c>
      <c r="T54" s="15" t="s">
        <v>434</v>
      </c>
      <c r="U54" s="7" t="s">
        <v>770</v>
      </c>
      <c r="V54" s="88"/>
      <c r="W54" s="14">
        <v>144</v>
      </c>
      <c r="X54" s="13">
        <f>+W54*0.138</f>
        <v>19.872</v>
      </c>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6"/>
      <c r="CJ54" s="26"/>
      <c r="CK54" s="26"/>
      <c r="CL54" s="26"/>
      <c r="CM54" s="26"/>
      <c r="CN54" s="26"/>
      <c r="CO54" s="9" t="s">
        <v>532</v>
      </c>
    </row>
    <row r="55" spans="1:93" s="8" customFormat="1">
      <c r="A55" s="27">
        <v>45</v>
      </c>
      <c r="B55" s="130" t="s">
        <v>1003</v>
      </c>
      <c r="C55" s="5" t="s">
        <v>187</v>
      </c>
      <c r="D55" s="5" t="s">
        <v>188</v>
      </c>
      <c r="E55" s="5" t="str">
        <f t="shared" si="0"/>
        <v>Lim, 2016</v>
      </c>
      <c r="F55" s="7">
        <v>2016</v>
      </c>
      <c r="G55" s="7" t="s">
        <v>54</v>
      </c>
      <c r="H55" s="10" t="s">
        <v>68</v>
      </c>
      <c r="I55" s="10" t="s">
        <v>82</v>
      </c>
      <c r="J55" s="10" t="s">
        <v>297</v>
      </c>
      <c r="K55" s="10" t="s">
        <v>367</v>
      </c>
      <c r="L55" s="10" t="s">
        <v>97</v>
      </c>
      <c r="M55" s="10" t="s">
        <v>176</v>
      </c>
      <c r="N55" s="10" t="s">
        <v>408</v>
      </c>
      <c r="O55" s="10" t="s">
        <v>56</v>
      </c>
      <c r="P55" s="10" t="s">
        <v>56</v>
      </c>
      <c r="Q55" s="7" t="s">
        <v>30</v>
      </c>
      <c r="R55" s="15" t="s">
        <v>32</v>
      </c>
      <c r="S55" s="7" t="s">
        <v>434</v>
      </c>
      <c r="T55" s="15" t="s">
        <v>434</v>
      </c>
      <c r="U55" s="7" t="s">
        <v>770</v>
      </c>
      <c r="V55" s="88"/>
      <c r="W55" s="14">
        <v>288</v>
      </c>
      <c r="X55" s="13">
        <f>+W55*0.024</f>
        <v>6.9119999999999999</v>
      </c>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6"/>
      <c r="CJ55" s="26"/>
      <c r="CK55" s="26"/>
      <c r="CL55" s="26"/>
      <c r="CM55" s="26"/>
      <c r="CN55" s="26"/>
      <c r="CO55" s="9" t="s">
        <v>532</v>
      </c>
    </row>
    <row r="56" spans="1:93" s="8" customFormat="1">
      <c r="A56" s="27">
        <v>45</v>
      </c>
      <c r="B56" s="130" t="s">
        <v>1004</v>
      </c>
      <c r="C56" s="5" t="s">
        <v>187</v>
      </c>
      <c r="D56" s="5" t="s">
        <v>188</v>
      </c>
      <c r="E56" s="5" t="str">
        <f t="shared" si="0"/>
        <v>Lim, 2016</v>
      </c>
      <c r="F56" s="7">
        <v>2016</v>
      </c>
      <c r="G56" s="7" t="s">
        <v>54</v>
      </c>
      <c r="H56" s="10" t="s">
        <v>68</v>
      </c>
      <c r="I56" s="10" t="s">
        <v>82</v>
      </c>
      <c r="J56" s="10" t="s">
        <v>297</v>
      </c>
      <c r="K56" s="10" t="s">
        <v>367</v>
      </c>
      <c r="L56" s="10" t="s">
        <v>107</v>
      </c>
      <c r="M56" s="10" t="s">
        <v>642</v>
      </c>
      <c r="N56" s="10" t="s">
        <v>408</v>
      </c>
      <c r="O56" s="10" t="s">
        <v>56</v>
      </c>
      <c r="P56" s="10" t="s">
        <v>56</v>
      </c>
      <c r="Q56" s="7" t="s">
        <v>30</v>
      </c>
      <c r="R56" s="15" t="s">
        <v>32</v>
      </c>
      <c r="S56" s="7" t="s">
        <v>434</v>
      </c>
      <c r="T56" s="15" t="s">
        <v>434</v>
      </c>
      <c r="U56" s="7" t="s">
        <v>770</v>
      </c>
      <c r="V56" s="88"/>
      <c r="W56" s="14">
        <v>94</v>
      </c>
      <c r="X56" s="13">
        <f>+W56*0.044</f>
        <v>4.1360000000000001</v>
      </c>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6"/>
      <c r="CJ56" s="26"/>
      <c r="CK56" s="26"/>
      <c r="CL56" s="26"/>
      <c r="CM56" s="26"/>
      <c r="CN56" s="26"/>
      <c r="CO56" s="9" t="s">
        <v>532</v>
      </c>
    </row>
    <row r="57" spans="1:93" s="8" customFormat="1">
      <c r="A57" s="27">
        <v>45</v>
      </c>
      <c r="B57" s="130" t="s">
        <v>1005</v>
      </c>
      <c r="C57" s="5" t="s">
        <v>187</v>
      </c>
      <c r="D57" s="5" t="s">
        <v>188</v>
      </c>
      <c r="E57" s="5" t="str">
        <f t="shared" si="0"/>
        <v>Lim, 2016</v>
      </c>
      <c r="F57" s="7">
        <v>2016</v>
      </c>
      <c r="G57" s="7" t="s">
        <v>54</v>
      </c>
      <c r="H57" s="10" t="s">
        <v>68</v>
      </c>
      <c r="I57" s="10" t="s">
        <v>82</v>
      </c>
      <c r="J57" s="10" t="s">
        <v>297</v>
      </c>
      <c r="K57" s="10" t="s">
        <v>367</v>
      </c>
      <c r="L57" s="10" t="s">
        <v>36</v>
      </c>
      <c r="M57" s="10" t="s">
        <v>675</v>
      </c>
      <c r="N57" s="10" t="s">
        <v>408</v>
      </c>
      <c r="O57" s="10" t="s">
        <v>56</v>
      </c>
      <c r="P57" s="10" t="s">
        <v>56</v>
      </c>
      <c r="Q57" s="7" t="s">
        <v>30</v>
      </c>
      <c r="R57" s="15" t="s">
        <v>32</v>
      </c>
      <c r="S57" s="7" t="s">
        <v>434</v>
      </c>
      <c r="T57" s="15" t="s">
        <v>434</v>
      </c>
      <c r="U57" s="7" t="s">
        <v>770</v>
      </c>
      <c r="V57" s="88"/>
      <c r="W57" s="14">
        <v>864</v>
      </c>
      <c r="X57" s="13">
        <f>+W57*0.406</f>
        <v>350.78400000000005</v>
      </c>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6"/>
      <c r="CJ57" s="26"/>
      <c r="CK57" s="26"/>
      <c r="CL57" s="26"/>
      <c r="CM57" s="26"/>
      <c r="CN57" s="26"/>
      <c r="CO57" s="9" t="s">
        <v>532</v>
      </c>
    </row>
    <row r="58" spans="1:93" s="8" customFormat="1">
      <c r="A58" s="27">
        <v>46</v>
      </c>
      <c r="B58" s="15">
        <f>+A58</f>
        <v>46</v>
      </c>
      <c r="C58" s="5" t="s">
        <v>189</v>
      </c>
      <c r="D58" s="5" t="s">
        <v>190</v>
      </c>
      <c r="E58" s="5" t="str">
        <f t="shared" si="0"/>
        <v>Lima, 2020</v>
      </c>
      <c r="F58" s="7">
        <v>2020</v>
      </c>
      <c r="G58" s="7" t="s">
        <v>78</v>
      </c>
      <c r="H58" s="10" t="s">
        <v>68</v>
      </c>
      <c r="I58" s="10" t="s">
        <v>80</v>
      </c>
      <c r="J58" s="10" t="s">
        <v>298</v>
      </c>
      <c r="K58" s="10" t="s">
        <v>462</v>
      </c>
      <c r="L58" s="10" t="s">
        <v>463</v>
      </c>
      <c r="M58" s="10" t="s">
        <v>408</v>
      </c>
      <c r="N58" s="10" t="s">
        <v>650</v>
      </c>
      <c r="O58" s="10" t="s">
        <v>45</v>
      </c>
      <c r="P58" s="10" t="s">
        <v>41</v>
      </c>
      <c r="Q58" s="7" t="s">
        <v>30</v>
      </c>
      <c r="R58" s="15" t="s">
        <v>32</v>
      </c>
      <c r="S58" s="7" t="s">
        <v>429</v>
      </c>
      <c r="T58" s="15" t="s">
        <v>790</v>
      </c>
      <c r="U58" s="7" t="s">
        <v>791</v>
      </c>
      <c r="V58" s="88">
        <v>90</v>
      </c>
      <c r="W58" s="14">
        <v>60</v>
      </c>
      <c r="X58" s="14">
        <v>30</v>
      </c>
      <c r="Y58" s="14">
        <v>26.5</v>
      </c>
      <c r="Z58" s="14"/>
      <c r="AA58" s="14"/>
      <c r="AB58" s="14"/>
      <c r="AC58" s="14"/>
      <c r="AD58" s="14"/>
      <c r="AE58" s="14"/>
      <c r="AF58" s="14">
        <v>62</v>
      </c>
      <c r="AG58" s="14"/>
      <c r="AH58" s="14">
        <v>24</v>
      </c>
      <c r="AI58" s="14">
        <v>26</v>
      </c>
      <c r="AJ58" s="14"/>
      <c r="AK58" s="14"/>
      <c r="AL58" s="14">
        <v>21</v>
      </c>
      <c r="AM58" s="14"/>
      <c r="AN58" s="14"/>
      <c r="AO58" s="14"/>
      <c r="AP58" s="14">
        <v>2</v>
      </c>
      <c r="AQ58" s="14">
        <v>30</v>
      </c>
      <c r="AR58" s="14">
        <v>10</v>
      </c>
      <c r="AS58" s="14"/>
      <c r="AT58" s="14"/>
      <c r="AU58" s="14"/>
      <c r="AV58" s="14"/>
      <c r="AW58" s="14"/>
      <c r="AX58" s="14"/>
      <c r="AY58" s="14"/>
      <c r="AZ58" s="14"/>
      <c r="BA58" s="14"/>
      <c r="BB58" s="14"/>
      <c r="BC58" s="20">
        <v>30</v>
      </c>
      <c r="BD58" s="20">
        <v>12</v>
      </c>
      <c r="BE58" s="20">
        <v>15</v>
      </c>
      <c r="BF58" s="20"/>
      <c r="BG58" s="20"/>
      <c r="BH58" s="20"/>
      <c r="BI58" s="20"/>
      <c r="BJ58" s="20"/>
      <c r="BK58" s="20"/>
      <c r="BL58" s="20">
        <v>66</v>
      </c>
      <c r="BM58" s="20"/>
      <c r="BN58" s="20">
        <v>21</v>
      </c>
      <c r="BO58" s="20">
        <v>19</v>
      </c>
      <c r="BP58" s="20"/>
      <c r="BQ58" s="20"/>
      <c r="BR58" s="20">
        <v>15</v>
      </c>
      <c r="BS58" s="20"/>
      <c r="BT58" s="20"/>
      <c r="BU58" s="20"/>
      <c r="BV58" s="20">
        <v>2</v>
      </c>
      <c r="BW58" s="20">
        <v>8</v>
      </c>
      <c r="BX58" s="20">
        <v>7</v>
      </c>
      <c r="BY58" s="20"/>
      <c r="BZ58" s="20"/>
      <c r="CA58" s="20"/>
      <c r="CB58" s="20"/>
      <c r="CC58" s="20"/>
      <c r="CD58" s="20"/>
      <c r="CE58" s="20"/>
      <c r="CF58" s="20"/>
      <c r="CG58" s="20"/>
      <c r="CH58" s="20"/>
      <c r="CI58" s="26"/>
      <c r="CJ58" s="26"/>
      <c r="CK58" s="26"/>
      <c r="CL58" s="26"/>
      <c r="CM58" s="26"/>
      <c r="CN58" s="26"/>
      <c r="CO58" s="9"/>
    </row>
    <row r="59" spans="1:93" s="8" customFormat="1">
      <c r="A59" s="27">
        <v>47</v>
      </c>
      <c r="B59" s="15">
        <f t="shared" ref="B59:B64" si="4">+A59</f>
        <v>47</v>
      </c>
      <c r="C59" s="5" t="s">
        <v>191</v>
      </c>
      <c r="D59" s="5" t="s">
        <v>192</v>
      </c>
      <c r="E59" s="5" t="str">
        <f t="shared" si="0"/>
        <v>Lipari, 2020</v>
      </c>
      <c r="F59" s="7">
        <v>2020</v>
      </c>
      <c r="G59" s="7" t="s">
        <v>89</v>
      </c>
      <c r="H59" s="10" t="s">
        <v>68</v>
      </c>
      <c r="I59" s="10" t="s">
        <v>80</v>
      </c>
      <c r="J59" s="10" t="s">
        <v>299</v>
      </c>
      <c r="K59" s="10" t="s">
        <v>464</v>
      </c>
      <c r="L59" s="10" t="s">
        <v>466</v>
      </c>
      <c r="M59" s="10" t="s">
        <v>176</v>
      </c>
      <c r="N59" s="10" t="s">
        <v>465</v>
      </c>
      <c r="O59" s="10" t="s">
        <v>45</v>
      </c>
      <c r="P59" s="10" t="s">
        <v>41</v>
      </c>
      <c r="Q59" s="7" t="s">
        <v>30</v>
      </c>
      <c r="R59" s="15" t="s">
        <v>32</v>
      </c>
      <c r="S59" s="7" t="s">
        <v>429</v>
      </c>
      <c r="T59" s="15" t="s">
        <v>773</v>
      </c>
      <c r="U59" s="7" t="s">
        <v>774</v>
      </c>
      <c r="V59" s="88">
        <f>42+42</f>
        <v>84</v>
      </c>
      <c r="W59" s="14">
        <v>42</v>
      </c>
      <c r="X59" s="14">
        <v>22</v>
      </c>
      <c r="Y59" s="14"/>
      <c r="Z59" s="14"/>
      <c r="AA59" s="14"/>
      <c r="AB59" s="14">
        <v>32</v>
      </c>
      <c r="AC59" s="14"/>
      <c r="AD59" s="14"/>
      <c r="AE59" s="14"/>
      <c r="AF59" s="14">
        <v>65</v>
      </c>
      <c r="AG59" s="14"/>
      <c r="AH59" s="14">
        <v>15</v>
      </c>
      <c r="AI59" s="14"/>
      <c r="AJ59" s="14"/>
      <c r="AK59" s="14"/>
      <c r="AL59" s="14"/>
      <c r="AM59" s="14"/>
      <c r="AN59" s="14"/>
      <c r="AO59" s="14"/>
      <c r="AP59" s="14"/>
      <c r="AQ59" s="14">
        <v>6</v>
      </c>
      <c r="AR59" s="14"/>
      <c r="AS59" s="14"/>
      <c r="AT59" s="14"/>
      <c r="AU59" s="14"/>
      <c r="AV59" s="14"/>
      <c r="AW59" s="14"/>
      <c r="AX59" s="14"/>
      <c r="AY59" s="14"/>
      <c r="AZ59" s="14"/>
      <c r="BA59" s="14"/>
      <c r="BB59" s="14"/>
      <c r="BC59" s="20">
        <v>42</v>
      </c>
      <c r="BD59" s="20">
        <v>7</v>
      </c>
      <c r="BE59" s="20"/>
      <c r="BF59" s="20"/>
      <c r="BG59" s="20"/>
      <c r="BH59" s="20">
        <v>12</v>
      </c>
      <c r="BI59" s="20"/>
      <c r="BJ59" s="20"/>
      <c r="BK59" s="20"/>
      <c r="BL59" s="20">
        <v>65</v>
      </c>
      <c r="BM59" s="20"/>
      <c r="BN59" s="20">
        <v>20</v>
      </c>
      <c r="BO59" s="20"/>
      <c r="BP59" s="20"/>
      <c r="BQ59" s="20"/>
      <c r="BR59" s="20"/>
      <c r="BS59" s="20"/>
      <c r="BT59" s="20"/>
      <c r="BU59" s="20"/>
      <c r="BV59" s="20"/>
      <c r="BW59" s="20">
        <v>0</v>
      </c>
      <c r="BX59" s="20"/>
      <c r="BY59" s="20"/>
      <c r="BZ59" s="20"/>
      <c r="CA59" s="20"/>
      <c r="CB59" s="20"/>
      <c r="CC59" s="20"/>
      <c r="CD59" s="20"/>
      <c r="CE59" s="20"/>
      <c r="CF59" s="20"/>
      <c r="CG59" s="20"/>
      <c r="CH59" s="20"/>
      <c r="CI59" s="26">
        <v>5.5</v>
      </c>
      <c r="CJ59" s="26">
        <v>15.1</v>
      </c>
      <c r="CK59" s="26">
        <v>2</v>
      </c>
      <c r="CL59" s="26"/>
      <c r="CM59" s="26"/>
      <c r="CN59" s="26"/>
      <c r="CO59" s="9"/>
    </row>
    <row r="60" spans="1:93" s="8" customFormat="1">
      <c r="A60" s="27">
        <v>48</v>
      </c>
      <c r="B60" s="15">
        <f t="shared" si="4"/>
        <v>48</v>
      </c>
      <c r="C60" s="5" t="s">
        <v>193</v>
      </c>
      <c r="D60" s="5" t="s">
        <v>194</v>
      </c>
      <c r="E60" s="5" t="str">
        <f t="shared" si="0"/>
        <v>Liu, 2019</v>
      </c>
      <c r="F60" s="7">
        <v>2019</v>
      </c>
      <c r="G60" s="7" t="s">
        <v>95</v>
      </c>
      <c r="H60" s="10" t="s">
        <v>68</v>
      </c>
      <c r="I60" s="10" t="s">
        <v>96</v>
      </c>
      <c r="J60" s="10" t="s">
        <v>300</v>
      </c>
      <c r="K60" s="10" t="s">
        <v>467</v>
      </c>
      <c r="L60" s="10" t="s">
        <v>97</v>
      </c>
      <c r="M60" s="10" t="s">
        <v>176</v>
      </c>
      <c r="N60" s="10"/>
      <c r="O60" s="10" t="s">
        <v>45</v>
      </c>
      <c r="P60" s="10" t="s">
        <v>41</v>
      </c>
      <c r="Q60" s="7" t="s">
        <v>30</v>
      </c>
      <c r="R60" s="15" t="s">
        <v>32</v>
      </c>
      <c r="S60" s="7" t="s">
        <v>429</v>
      </c>
      <c r="T60" s="15" t="s">
        <v>779</v>
      </c>
      <c r="U60" s="7" t="s">
        <v>780</v>
      </c>
      <c r="V60" s="88">
        <v>89</v>
      </c>
      <c r="W60" s="14">
        <v>20</v>
      </c>
      <c r="X60" s="14">
        <v>11</v>
      </c>
      <c r="Y60" s="14"/>
      <c r="Z60" s="14"/>
      <c r="AA60" s="14"/>
      <c r="AB60" s="14"/>
      <c r="AC60" s="14"/>
      <c r="AD60" s="14"/>
      <c r="AE60" s="14"/>
      <c r="AF60" s="14">
        <v>23</v>
      </c>
      <c r="AG60" s="14"/>
      <c r="AH60" s="14">
        <v>10</v>
      </c>
      <c r="AI60" s="14"/>
      <c r="AJ60" s="14"/>
      <c r="AK60" s="14">
        <v>0</v>
      </c>
      <c r="AL60" s="14">
        <v>2</v>
      </c>
      <c r="AM60" s="14"/>
      <c r="AN60" s="14"/>
      <c r="AO60" s="14"/>
      <c r="AP60" s="14">
        <v>4</v>
      </c>
      <c r="AQ60" s="14"/>
      <c r="AR60" s="14"/>
      <c r="AS60" s="14"/>
      <c r="AT60" s="14"/>
      <c r="AU60" s="14"/>
      <c r="AV60" s="14">
        <v>1</v>
      </c>
      <c r="AW60" s="14">
        <v>2</v>
      </c>
      <c r="AX60" s="14">
        <v>12</v>
      </c>
      <c r="AY60" s="14">
        <v>5</v>
      </c>
      <c r="AZ60" s="14"/>
      <c r="BA60" s="14"/>
      <c r="BB60" s="14"/>
      <c r="BC60" s="20">
        <v>69</v>
      </c>
      <c r="BD60" s="20">
        <v>11</v>
      </c>
      <c r="BE60" s="20"/>
      <c r="BF60" s="20"/>
      <c r="BG60" s="20"/>
      <c r="BH60" s="20"/>
      <c r="BI60" s="20"/>
      <c r="BJ60" s="20"/>
      <c r="BK60" s="20"/>
      <c r="BL60" s="20">
        <v>23</v>
      </c>
      <c r="BM60" s="20"/>
      <c r="BN60" s="20">
        <v>41</v>
      </c>
      <c r="BO60" s="20"/>
      <c r="BP60" s="20"/>
      <c r="BQ60" s="20">
        <v>7</v>
      </c>
      <c r="BR60" s="20">
        <v>3</v>
      </c>
      <c r="BS60" s="20"/>
      <c r="BT60" s="20"/>
      <c r="BU60" s="20"/>
      <c r="BV60" s="20">
        <v>3</v>
      </c>
      <c r="BW60" s="20"/>
      <c r="BX60" s="20"/>
      <c r="BY60" s="20"/>
      <c r="BZ60" s="20"/>
      <c r="CA60" s="20"/>
      <c r="CB60" s="20">
        <v>0</v>
      </c>
      <c r="CC60" s="20">
        <v>5</v>
      </c>
      <c r="CD60" s="20">
        <v>54</v>
      </c>
      <c r="CE60" s="20">
        <v>10</v>
      </c>
      <c r="CF60" s="20"/>
      <c r="CG60" s="20"/>
      <c r="CH60" s="20"/>
      <c r="CI60" s="26">
        <v>3.5</v>
      </c>
      <c r="CJ60" s="26">
        <v>10.59</v>
      </c>
      <c r="CK60" s="26">
        <v>1.1599999999999999</v>
      </c>
      <c r="CL60" s="26">
        <v>1.39</v>
      </c>
      <c r="CM60" s="26">
        <v>5.26</v>
      </c>
      <c r="CN60" s="26">
        <v>0.36699999999999999</v>
      </c>
      <c r="CO60" s="9"/>
    </row>
    <row r="61" spans="1:93" s="8" customFormat="1">
      <c r="A61" s="27">
        <v>49</v>
      </c>
      <c r="B61" s="15">
        <f t="shared" si="4"/>
        <v>49</v>
      </c>
      <c r="C61" s="5" t="s">
        <v>195</v>
      </c>
      <c r="D61" s="5" t="s">
        <v>196</v>
      </c>
      <c r="E61" s="5" t="str">
        <f t="shared" si="0"/>
        <v>Liu, 2015</v>
      </c>
      <c r="F61" s="7">
        <v>2015</v>
      </c>
      <c r="G61" s="7" t="s">
        <v>95</v>
      </c>
      <c r="H61" s="10" t="s">
        <v>68</v>
      </c>
      <c r="I61" s="10" t="s">
        <v>96</v>
      </c>
      <c r="J61" s="10" t="s">
        <v>301</v>
      </c>
      <c r="K61" s="10" t="s">
        <v>302</v>
      </c>
      <c r="L61" s="6" t="s">
        <v>36</v>
      </c>
      <c r="M61" s="6" t="s">
        <v>675</v>
      </c>
      <c r="N61" s="10" t="s">
        <v>468</v>
      </c>
      <c r="O61" s="10" t="s">
        <v>662</v>
      </c>
      <c r="P61" s="10" t="s">
        <v>56</v>
      </c>
      <c r="Q61" s="7" t="s">
        <v>30</v>
      </c>
      <c r="R61" s="15" t="s">
        <v>32</v>
      </c>
      <c r="S61" s="7" t="s">
        <v>434</v>
      </c>
      <c r="T61" s="15" t="s">
        <v>434</v>
      </c>
      <c r="U61" s="7" t="s">
        <v>770</v>
      </c>
      <c r="V61" s="88">
        <f>182+59</f>
        <v>241</v>
      </c>
      <c r="W61" s="14">
        <v>182</v>
      </c>
      <c r="X61" s="14">
        <v>50</v>
      </c>
      <c r="Y61" s="14"/>
      <c r="Z61" s="14"/>
      <c r="AA61" s="14"/>
      <c r="AB61" s="14">
        <v>109</v>
      </c>
      <c r="AC61" s="14"/>
      <c r="AD61" s="14"/>
      <c r="AE61" s="14"/>
      <c r="AF61" s="14">
        <v>52.423000000000002</v>
      </c>
      <c r="AG61" s="14">
        <v>18.507000000000001</v>
      </c>
      <c r="AH61" s="14">
        <v>56</v>
      </c>
      <c r="AI61" s="14">
        <v>77</v>
      </c>
      <c r="AJ61" s="14">
        <v>111</v>
      </c>
      <c r="AK61" s="14"/>
      <c r="AL61" s="14">
        <v>22</v>
      </c>
      <c r="AM61" s="14">
        <v>46</v>
      </c>
      <c r="AN61" s="14">
        <v>13</v>
      </c>
      <c r="AO61" s="14">
        <v>20</v>
      </c>
      <c r="AP61" s="14"/>
      <c r="AQ61" s="14"/>
      <c r="AR61" s="14">
        <v>130</v>
      </c>
      <c r="AS61" s="14"/>
      <c r="AT61" s="14"/>
      <c r="AU61" s="14"/>
      <c r="AV61" s="14">
        <v>8</v>
      </c>
      <c r="AW61" s="14">
        <v>130</v>
      </c>
      <c r="AX61" s="14">
        <f>25+12</f>
        <v>37</v>
      </c>
      <c r="AY61" s="14">
        <f>28+12</f>
        <v>40</v>
      </c>
      <c r="AZ61" s="14">
        <v>96</v>
      </c>
      <c r="BA61" s="14"/>
      <c r="BB61" s="14"/>
      <c r="BC61" s="20">
        <v>59</v>
      </c>
      <c r="BD61" s="20">
        <v>3</v>
      </c>
      <c r="BE61" s="20"/>
      <c r="BF61" s="20"/>
      <c r="BG61" s="20"/>
      <c r="BH61" s="20">
        <v>7</v>
      </c>
      <c r="BI61" s="20"/>
      <c r="BJ61" s="20"/>
      <c r="BK61" s="20"/>
      <c r="BL61" s="20">
        <v>58.677999999999997</v>
      </c>
      <c r="BM61" s="20">
        <v>15.117000000000001</v>
      </c>
      <c r="BN61" s="20">
        <f>59-41</f>
        <v>18</v>
      </c>
      <c r="BO61" s="20">
        <v>22</v>
      </c>
      <c r="BP61" s="20">
        <v>21</v>
      </c>
      <c r="BQ61" s="20"/>
      <c r="BR61" s="20">
        <v>8</v>
      </c>
      <c r="BS61" s="20">
        <v>14</v>
      </c>
      <c r="BT61" s="20">
        <v>4</v>
      </c>
      <c r="BU61" s="20">
        <v>13</v>
      </c>
      <c r="BV61" s="20"/>
      <c r="BW61" s="20"/>
      <c r="BX61" s="20">
        <v>21</v>
      </c>
      <c r="BY61" s="20"/>
      <c r="BZ61" s="20"/>
      <c r="CA61" s="20"/>
      <c r="CB61" s="20">
        <v>5</v>
      </c>
      <c r="CC61" s="20">
        <v>21</v>
      </c>
      <c r="CD61" s="20">
        <v>5</v>
      </c>
      <c r="CE61" s="20">
        <v>7</v>
      </c>
      <c r="CF61" s="20">
        <v>34</v>
      </c>
      <c r="CG61" s="20"/>
      <c r="CH61" s="20"/>
      <c r="CI61" s="26"/>
      <c r="CJ61" s="26"/>
      <c r="CK61" s="26"/>
      <c r="CL61" s="26"/>
      <c r="CM61" s="26"/>
      <c r="CN61" s="26"/>
      <c r="CO61" s="9" t="s">
        <v>469</v>
      </c>
    </row>
    <row r="62" spans="1:93" s="8" customFormat="1">
      <c r="A62" s="27">
        <v>50</v>
      </c>
      <c r="B62" s="15">
        <f t="shared" si="4"/>
        <v>50</v>
      </c>
      <c r="C62" s="5" t="s">
        <v>197</v>
      </c>
      <c r="D62" s="5" t="s">
        <v>198</v>
      </c>
      <c r="E62" s="5" t="str">
        <f t="shared" si="0"/>
        <v>Liu, 2019</v>
      </c>
      <c r="F62" s="7">
        <v>2019</v>
      </c>
      <c r="G62" s="7" t="s">
        <v>95</v>
      </c>
      <c r="H62" s="10" t="s">
        <v>68</v>
      </c>
      <c r="I62" s="10" t="s">
        <v>96</v>
      </c>
      <c r="J62" s="10" t="s">
        <v>303</v>
      </c>
      <c r="K62" s="10" t="s">
        <v>304</v>
      </c>
      <c r="L62" s="10" t="s">
        <v>97</v>
      </c>
      <c r="M62" s="10" t="s">
        <v>176</v>
      </c>
      <c r="N62" s="10" t="s">
        <v>470</v>
      </c>
      <c r="O62" s="10" t="s">
        <v>45</v>
      </c>
      <c r="P62" s="10" t="s">
        <v>41</v>
      </c>
      <c r="Q62" s="7" t="s">
        <v>30</v>
      </c>
      <c r="R62" s="15" t="s">
        <v>32</v>
      </c>
      <c r="S62" s="7" t="s">
        <v>429</v>
      </c>
      <c r="T62" s="15" t="s">
        <v>779</v>
      </c>
      <c r="U62" s="7" t="s">
        <v>780</v>
      </c>
      <c r="V62" s="88">
        <f>56+42</f>
        <v>98</v>
      </c>
      <c r="W62" s="14">
        <v>70</v>
      </c>
      <c r="X62" s="14">
        <v>30</v>
      </c>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20">
        <v>28</v>
      </c>
      <c r="BD62" s="20">
        <v>12</v>
      </c>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6">
        <v>1</v>
      </c>
      <c r="CJ62" s="26">
        <v>2.42</v>
      </c>
      <c r="CK62" s="26">
        <v>0.41</v>
      </c>
      <c r="CL62" s="26"/>
      <c r="CM62" s="26"/>
      <c r="CN62" s="26"/>
      <c r="CO62" s="9"/>
    </row>
    <row r="63" spans="1:93" s="8" customFormat="1">
      <c r="A63" s="27">
        <v>51</v>
      </c>
      <c r="B63" s="15">
        <f t="shared" si="4"/>
        <v>51</v>
      </c>
      <c r="C63" s="5" t="s">
        <v>199</v>
      </c>
      <c r="D63" s="5" t="s">
        <v>200</v>
      </c>
      <c r="E63" s="5" t="str">
        <f t="shared" si="0"/>
        <v>Liu, 2020</v>
      </c>
      <c r="F63" s="7">
        <v>2020</v>
      </c>
      <c r="G63" s="7" t="s">
        <v>95</v>
      </c>
      <c r="H63" s="10" t="s">
        <v>68</v>
      </c>
      <c r="I63" s="10" t="s">
        <v>96</v>
      </c>
      <c r="J63" s="10" t="s">
        <v>305</v>
      </c>
      <c r="K63" s="10" t="s">
        <v>471</v>
      </c>
      <c r="L63" s="6" t="s">
        <v>36</v>
      </c>
      <c r="M63" s="6" t="s">
        <v>675</v>
      </c>
      <c r="N63" s="10" t="s">
        <v>656</v>
      </c>
      <c r="O63" s="10" t="s">
        <v>45</v>
      </c>
      <c r="P63" s="10" t="s">
        <v>41</v>
      </c>
      <c r="Q63" s="7" t="s">
        <v>30</v>
      </c>
      <c r="R63" s="15" t="s">
        <v>32</v>
      </c>
      <c r="S63" s="7" t="s">
        <v>429</v>
      </c>
      <c r="T63" s="15" t="s">
        <v>781</v>
      </c>
      <c r="U63" s="7" t="s">
        <v>782</v>
      </c>
      <c r="V63" s="88">
        <f>+W63+88</f>
        <v>317</v>
      </c>
      <c r="W63" s="14">
        <v>229</v>
      </c>
      <c r="X63" s="14">
        <v>60</v>
      </c>
      <c r="Y63" s="14"/>
      <c r="Z63" s="14"/>
      <c r="AA63" s="14"/>
      <c r="AB63" s="14">
        <v>129</v>
      </c>
      <c r="AC63" s="14"/>
      <c r="AD63" s="14"/>
      <c r="AE63" s="14"/>
      <c r="AF63" s="14">
        <v>59</v>
      </c>
      <c r="AG63" s="14"/>
      <c r="AH63" s="14">
        <f>W63-169</f>
        <v>60</v>
      </c>
      <c r="AI63" s="14">
        <v>73</v>
      </c>
      <c r="AJ63" s="14">
        <v>73</v>
      </c>
      <c r="AK63" s="14"/>
      <c r="AL63" s="14">
        <v>34</v>
      </c>
      <c r="AM63" s="14"/>
      <c r="AN63" s="14">
        <v>47</v>
      </c>
      <c r="AO63" s="14">
        <v>54</v>
      </c>
      <c r="AP63" s="14">
        <v>23</v>
      </c>
      <c r="AQ63" s="14">
        <v>22</v>
      </c>
      <c r="AR63" s="14">
        <v>45</v>
      </c>
      <c r="AS63" s="14"/>
      <c r="AT63" s="14"/>
      <c r="AU63" s="14"/>
      <c r="AV63" s="14">
        <v>4</v>
      </c>
      <c r="AW63" s="14">
        <v>46</v>
      </c>
      <c r="AX63" s="14">
        <f>88+43</f>
        <v>131</v>
      </c>
      <c r="AY63" s="14">
        <v>41</v>
      </c>
      <c r="AZ63" s="14">
        <v>6</v>
      </c>
      <c r="BA63" s="14"/>
      <c r="BB63" s="14"/>
      <c r="BC63" s="20">
        <v>88</v>
      </c>
      <c r="BD63" s="20">
        <v>4</v>
      </c>
      <c r="BE63" s="20"/>
      <c r="BF63" s="20"/>
      <c r="BG63" s="20"/>
      <c r="BH63" s="20">
        <v>26</v>
      </c>
      <c r="BI63" s="20"/>
      <c r="BJ63" s="20"/>
      <c r="BK63" s="20"/>
      <c r="BL63" s="20">
        <v>59</v>
      </c>
      <c r="BM63" s="20"/>
      <c r="BN63" s="20">
        <f>+BC63-49</f>
        <v>39</v>
      </c>
      <c r="BO63" s="20">
        <v>21</v>
      </c>
      <c r="BP63" s="20">
        <v>20</v>
      </c>
      <c r="BQ63" s="20"/>
      <c r="BR63" s="20">
        <v>12</v>
      </c>
      <c r="BS63" s="20"/>
      <c r="BT63" s="20">
        <v>29</v>
      </c>
      <c r="BU63" s="20">
        <v>25</v>
      </c>
      <c r="BV63" s="20">
        <v>10</v>
      </c>
      <c r="BW63" s="20">
        <v>5</v>
      </c>
      <c r="BX63" s="20">
        <v>15</v>
      </c>
      <c r="BY63" s="20"/>
      <c r="BZ63" s="20"/>
      <c r="CA63" s="20"/>
      <c r="CB63" s="20">
        <v>2</v>
      </c>
      <c r="CC63" s="20">
        <v>9</v>
      </c>
      <c r="CD63" s="20">
        <f>54+8</f>
        <v>62</v>
      </c>
      <c r="CE63" s="20">
        <v>15</v>
      </c>
      <c r="CF63" s="20"/>
      <c r="CG63" s="20"/>
      <c r="CH63" s="20"/>
      <c r="CI63" s="26"/>
      <c r="CJ63" s="26"/>
      <c r="CK63" s="26"/>
      <c r="CL63" s="26">
        <v>8.0090000000000003</v>
      </c>
      <c r="CM63" s="26">
        <v>39.444000000000003</v>
      </c>
      <c r="CN63" s="26">
        <v>1.629</v>
      </c>
      <c r="CO63" s="9"/>
    </row>
    <row r="64" spans="1:93" s="8" customFormat="1">
      <c r="A64" s="27">
        <v>52</v>
      </c>
      <c r="B64" s="15">
        <f t="shared" si="4"/>
        <v>52</v>
      </c>
      <c r="C64" s="5" t="s">
        <v>982</v>
      </c>
      <c r="D64" s="5" t="s">
        <v>1059</v>
      </c>
      <c r="E64" s="5" t="str">
        <f t="shared" si="0"/>
        <v>Loftus, 2022</v>
      </c>
      <c r="F64" s="7">
        <v>2022</v>
      </c>
      <c r="G64" s="7" t="s">
        <v>983</v>
      </c>
      <c r="H64" s="10" t="s">
        <v>68</v>
      </c>
      <c r="I64" s="10" t="s">
        <v>96</v>
      </c>
      <c r="J64" s="10" t="s">
        <v>984</v>
      </c>
      <c r="K64" s="10" t="s">
        <v>985</v>
      </c>
      <c r="L64" s="6" t="s">
        <v>408</v>
      </c>
      <c r="M64" s="10" t="s">
        <v>176</v>
      </c>
      <c r="N64" s="10"/>
      <c r="O64" s="10" t="s">
        <v>43</v>
      </c>
      <c r="P64" s="10" t="s">
        <v>41</v>
      </c>
      <c r="Q64" s="7" t="s">
        <v>30</v>
      </c>
      <c r="R64" s="15" t="s">
        <v>32</v>
      </c>
      <c r="S64" s="7" t="s">
        <v>429</v>
      </c>
      <c r="T64" s="15" t="s">
        <v>773</v>
      </c>
      <c r="U64" s="7" t="s">
        <v>774</v>
      </c>
      <c r="V64" s="88">
        <v>162</v>
      </c>
      <c r="W64" s="14">
        <v>66</v>
      </c>
      <c r="X64" s="14">
        <v>20</v>
      </c>
      <c r="Y64" s="14">
        <v>13</v>
      </c>
      <c r="Z64" s="14"/>
      <c r="AA64" s="14">
        <v>11</v>
      </c>
      <c r="AB64" s="14"/>
      <c r="AC64" s="14"/>
      <c r="AD64" s="14"/>
      <c r="AE64" s="14"/>
      <c r="AF64" s="14">
        <v>56.1</v>
      </c>
      <c r="AG64" s="14"/>
      <c r="AH64" s="14">
        <f>66-32</f>
        <v>34</v>
      </c>
      <c r="AI64" s="14">
        <v>12</v>
      </c>
      <c r="AJ64" s="14">
        <v>19</v>
      </c>
      <c r="AK64" s="14">
        <v>28</v>
      </c>
      <c r="AL64" s="14"/>
      <c r="AM64" s="14"/>
      <c r="AN64" s="14"/>
      <c r="AO64" s="14"/>
      <c r="AP64" s="14"/>
      <c r="AQ64" s="14"/>
      <c r="AR64" s="14"/>
      <c r="AS64" s="14"/>
      <c r="AT64" s="14"/>
      <c r="AU64" s="14">
        <v>1</v>
      </c>
      <c r="AV64" s="14">
        <v>12</v>
      </c>
      <c r="AW64" s="14"/>
      <c r="AX64" s="14">
        <f>34+7</f>
        <v>41</v>
      </c>
      <c r="AY64" s="14">
        <v>4</v>
      </c>
      <c r="AZ64" s="14">
        <v>9</v>
      </c>
      <c r="BA64" s="14"/>
      <c r="BB64" s="14">
        <v>2</v>
      </c>
      <c r="BC64" s="20">
        <v>96</v>
      </c>
      <c r="BD64" s="20">
        <v>16</v>
      </c>
      <c r="BE64" s="20">
        <v>8</v>
      </c>
      <c r="BF64" s="20"/>
      <c r="BG64" s="20">
        <v>8</v>
      </c>
      <c r="BH64" s="20"/>
      <c r="BI64" s="20"/>
      <c r="BJ64" s="20"/>
      <c r="BK64" s="20"/>
      <c r="BL64" s="20">
        <v>54.3</v>
      </c>
      <c r="BM64" s="20"/>
      <c r="BN64" s="20">
        <f>96-39</f>
        <v>57</v>
      </c>
      <c r="BO64" s="20">
        <v>5</v>
      </c>
      <c r="BP64" s="20">
        <v>17</v>
      </c>
      <c r="BQ64" s="20">
        <v>79</v>
      </c>
      <c r="BR64" s="20"/>
      <c r="BS64" s="20"/>
      <c r="BT64" s="20"/>
      <c r="BU64" s="20"/>
      <c r="BV64" s="20"/>
      <c r="BW64" s="20"/>
      <c r="BX64" s="20"/>
      <c r="BY64" s="20"/>
      <c r="BZ64" s="20"/>
      <c r="CA64" s="20">
        <v>1</v>
      </c>
      <c r="CB64" s="20">
        <v>15</v>
      </c>
      <c r="CC64" s="20"/>
      <c r="CD64" s="20">
        <v>64</v>
      </c>
      <c r="CE64" s="20">
        <v>8</v>
      </c>
      <c r="CF64" s="20">
        <v>9</v>
      </c>
      <c r="CG64" s="20"/>
      <c r="CH64" s="20">
        <v>2</v>
      </c>
      <c r="CI64" s="26"/>
      <c r="CJ64" s="26"/>
      <c r="CK64" s="26"/>
      <c r="CL64" s="26"/>
      <c r="CM64" s="26"/>
      <c r="CN64" s="26"/>
      <c r="CO64" s="9"/>
    </row>
    <row r="65" spans="1:93" s="8" customFormat="1">
      <c r="A65" s="27">
        <v>53</v>
      </c>
      <c r="B65" s="130" t="s">
        <v>1006</v>
      </c>
      <c r="C65" s="5" t="s">
        <v>201</v>
      </c>
      <c r="D65" s="5" t="s">
        <v>306</v>
      </c>
      <c r="E65" s="5" t="str">
        <f t="shared" si="0"/>
        <v>Lopez-Luis, 2020</v>
      </c>
      <c r="F65" s="7">
        <v>2020</v>
      </c>
      <c r="G65" s="7" t="s">
        <v>166</v>
      </c>
      <c r="H65" s="10" t="s">
        <v>68</v>
      </c>
      <c r="I65" s="10" t="s">
        <v>80</v>
      </c>
      <c r="J65" s="10" t="s">
        <v>307</v>
      </c>
      <c r="K65" s="10" t="s">
        <v>472</v>
      </c>
      <c r="L65" s="10" t="s">
        <v>427</v>
      </c>
      <c r="M65" s="10" t="s">
        <v>164</v>
      </c>
      <c r="N65" s="10" t="s">
        <v>50</v>
      </c>
      <c r="O65" s="10" t="s">
        <v>46</v>
      </c>
      <c r="P65" s="10" t="s">
        <v>59</v>
      </c>
      <c r="Q65" s="7" t="s">
        <v>51</v>
      </c>
      <c r="R65" s="16" t="s">
        <v>52</v>
      </c>
      <c r="S65" s="7" t="s">
        <v>429</v>
      </c>
      <c r="T65" s="15" t="s">
        <v>768</v>
      </c>
      <c r="U65" s="7" t="s">
        <v>769</v>
      </c>
      <c r="V65" s="88">
        <f>107+85</f>
        <v>192</v>
      </c>
      <c r="W65" s="14">
        <v>107</v>
      </c>
      <c r="X65" s="14">
        <v>34</v>
      </c>
      <c r="Y65" s="14"/>
      <c r="Z65" s="14"/>
      <c r="AA65" s="14"/>
      <c r="AB65" s="14">
        <v>41</v>
      </c>
      <c r="AC65" s="14"/>
      <c r="AD65" s="14"/>
      <c r="AE65" s="14"/>
      <c r="AF65" s="14">
        <v>51</v>
      </c>
      <c r="AG65" s="14"/>
      <c r="AH65" s="14">
        <f>+W65-52</f>
        <v>55</v>
      </c>
      <c r="AI65" s="14"/>
      <c r="AJ65" s="14">
        <v>102</v>
      </c>
      <c r="AK65" s="14"/>
      <c r="AL65" s="14">
        <v>24</v>
      </c>
      <c r="AM65" s="14"/>
      <c r="AN65" s="14">
        <v>4</v>
      </c>
      <c r="AO65" s="14">
        <v>23</v>
      </c>
      <c r="AP65" s="14">
        <v>29</v>
      </c>
      <c r="AQ65" s="14">
        <v>13</v>
      </c>
      <c r="AR65" s="14"/>
      <c r="AS65" s="14">
        <v>44</v>
      </c>
      <c r="AT65" s="14"/>
      <c r="AU65" s="14"/>
      <c r="AV65" s="14">
        <v>3</v>
      </c>
      <c r="AW65" s="14"/>
      <c r="AX65" s="14">
        <v>36</v>
      </c>
      <c r="AY65" s="14">
        <v>69</v>
      </c>
      <c r="AZ65" s="14"/>
      <c r="BA65" s="14"/>
      <c r="BB65" s="14">
        <v>4</v>
      </c>
      <c r="BC65" s="20">
        <v>85</v>
      </c>
      <c r="BD65" s="20">
        <f>83-72</f>
        <v>11</v>
      </c>
      <c r="BE65" s="20"/>
      <c r="BF65" s="20"/>
      <c r="BG65" s="20"/>
      <c r="BH65" s="20">
        <v>11</v>
      </c>
      <c r="BI65" s="20"/>
      <c r="BJ65" s="20"/>
      <c r="BK65" s="20"/>
      <c r="BL65" s="20">
        <v>55</v>
      </c>
      <c r="BM65" s="20"/>
      <c r="BN65" s="20">
        <f>+BC65-38</f>
        <v>47</v>
      </c>
      <c r="BO65" s="20"/>
      <c r="BP65" s="20">
        <v>37</v>
      </c>
      <c r="BQ65" s="20"/>
      <c r="BR65" s="20">
        <v>14</v>
      </c>
      <c r="BS65" s="20"/>
      <c r="BT65" s="20">
        <v>4</v>
      </c>
      <c r="BU65" s="20">
        <v>38</v>
      </c>
      <c r="BV65" s="20">
        <v>6</v>
      </c>
      <c r="BW65" s="20">
        <v>10</v>
      </c>
      <c r="BX65" s="20"/>
      <c r="BY65" s="20">
        <v>9</v>
      </c>
      <c r="BZ65" s="20"/>
      <c r="CA65" s="20"/>
      <c r="CB65" s="20">
        <v>4</v>
      </c>
      <c r="CC65" s="20"/>
      <c r="CD65" s="20">
        <v>20</v>
      </c>
      <c r="CE65" s="20">
        <f>38+16</f>
        <v>54</v>
      </c>
      <c r="CF65" s="20">
        <f>+BC65-SUM(CB65:CE65)</f>
        <v>7</v>
      </c>
      <c r="CG65" s="20"/>
      <c r="CH65" s="20">
        <v>4</v>
      </c>
      <c r="CI65" s="26"/>
      <c r="CJ65" s="26"/>
      <c r="CK65" s="26"/>
      <c r="CL65" s="26"/>
      <c r="CM65" s="26"/>
      <c r="CN65" s="26"/>
      <c r="CO65" s="9"/>
    </row>
    <row r="66" spans="1:93" s="8" customFormat="1">
      <c r="A66" s="132">
        <v>53</v>
      </c>
      <c r="B66" s="130" t="s">
        <v>1007</v>
      </c>
      <c r="C66" s="5" t="s">
        <v>201</v>
      </c>
      <c r="D66" s="5" t="s">
        <v>306</v>
      </c>
      <c r="E66" s="5" t="str">
        <f t="shared" si="0"/>
        <v>Lopez-Luis, 2020</v>
      </c>
      <c r="F66" s="7">
        <v>2020</v>
      </c>
      <c r="G66" s="7" t="s">
        <v>166</v>
      </c>
      <c r="H66" s="10" t="s">
        <v>68</v>
      </c>
      <c r="I66" s="10" t="s">
        <v>80</v>
      </c>
      <c r="J66" s="10" t="s">
        <v>307</v>
      </c>
      <c r="K66" s="10" t="s">
        <v>472</v>
      </c>
      <c r="L66" s="10" t="s">
        <v>427</v>
      </c>
      <c r="M66" s="10" t="s">
        <v>164</v>
      </c>
      <c r="N66" s="10" t="s">
        <v>647</v>
      </c>
      <c r="O66" s="3" t="s">
        <v>42</v>
      </c>
      <c r="P66" s="3" t="s">
        <v>41</v>
      </c>
      <c r="Q66" s="7" t="s">
        <v>51</v>
      </c>
      <c r="R66" s="16" t="s">
        <v>52</v>
      </c>
      <c r="S66" s="7" t="s">
        <v>429</v>
      </c>
      <c r="T66" s="15" t="s">
        <v>792</v>
      </c>
      <c r="U66" s="7" t="s">
        <v>793</v>
      </c>
      <c r="V66" s="88">
        <f>129+18</f>
        <v>147</v>
      </c>
      <c r="W66" s="14">
        <v>18</v>
      </c>
      <c r="X66" s="14">
        <v>5</v>
      </c>
      <c r="Y66" s="14"/>
      <c r="Z66" s="14"/>
      <c r="AA66" s="14"/>
      <c r="AB66" s="14">
        <v>4</v>
      </c>
      <c r="AC66" s="14"/>
      <c r="AD66" s="14"/>
      <c r="AE66" s="14"/>
      <c r="AF66" s="14">
        <v>49</v>
      </c>
      <c r="AG66" s="14"/>
      <c r="AH66" s="14">
        <v>6</v>
      </c>
      <c r="AI66" s="14"/>
      <c r="AJ66" s="14">
        <v>13</v>
      </c>
      <c r="AK66" s="14"/>
      <c r="AL66" s="14">
        <v>3</v>
      </c>
      <c r="AM66" s="14"/>
      <c r="AN66" s="14">
        <v>1</v>
      </c>
      <c r="AO66" s="14"/>
      <c r="AP66" s="14">
        <v>1</v>
      </c>
      <c r="AQ66" s="14">
        <v>5</v>
      </c>
      <c r="AR66" s="14"/>
      <c r="AS66" s="14">
        <v>3</v>
      </c>
      <c r="AT66" s="14"/>
      <c r="AU66" s="14"/>
      <c r="AV66" s="14">
        <v>1</v>
      </c>
      <c r="AW66" s="14"/>
      <c r="AX66" s="14">
        <v>9</v>
      </c>
      <c r="AY66" s="14">
        <v>6</v>
      </c>
      <c r="AZ66" s="14">
        <v>2</v>
      </c>
      <c r="BA66" s="14"/>
      <c r="BB66" s="14">
        <v>2.5</v>
      </c>
      <c r="BC66" s="20">
        <v>129</v>
      </c>
      <c r="BD66" s="20">
        <f>BC66-106</f>
        <v>23</v>
      </c>
      <c r="BE66" s="20"/>
      <c r="BF66" s="20"/>
      <c r="BG66" s="20"/>
      <c r="BH66" s="20">
        <v>22</v>
      </c>
      <c r="BI66" s="20"/>
      <c r="BJ66" s="20"/>
      <c r="BK66" s="20"/>
      <c r="BL66" s="20">
        <v>51</v>
      </c>
      <c r="BM66" s="20"/>
      <c r="BN66" s="20">
        <f>+BC66-71</f>
        <v>58</v>
      </c>
      <c r="BO66" s="20"/>
      <c r="BP66" s="20">
        <v>77</v>
      </c>
      <c r="BQ66" s="20"/>
      <c r="BR66" s="20">
        <v>16</v>
      </c>
      <c r="BS66" s="20"/>
      <c r="BT66" s="20">
        <v>8</v>
      </c>
      <c r="BU66" s="20"/>
      <c r="BV66" s="20">
        <v>4</v>
      </c>
      <c r="BW66" s="20">
        <v>39</v>
      </c>
      <c r="BX66" s="20"/>
      <c r="BY66" s="20">
        <v>9</v>
      </c>
      <c r="BZ66" s="20"/>
      <c r="CA66" s="20"/>
      <c r="CB66" s="20">
        <v>12</v>
      </c>
      <c r="CC66" s="20"/>
      <c r="CD66" s="20">
        <v>47</v>
      </c>
      <c r="CE66" s="20">
        <f>28+35+7</f>
        <v>70</v>
      </c>
      <c r="CF66" s="20"/>
      <c r="CG66" s="20"/>
      <c r="CH66" s="20">
        <v>2</v>
      </c>
      <c r="CI66" s="26"/>
      <c r="CJ66" s="26"/>
      <c r="CK66" s="26"/>
      <c r="CL66" s="26"/>
      <c r="CM66" s="26"/>
      <c r="CN66" s="26"/>
      <c r="CO66" s="9"/>
    </row>
    <row r="67" spans="1:93" s="8" customFormat="1">
      <c r="A67" s="27">
        <v>54</v>
      </c>
      <c r="B67" s="15">
        <f>+A67</f>
        <v>54</v>
      </c>
      <c r="C67" s="5" t="s">
        <v>202</v>
      </c>
      <c r="D67" s="5" t="s">
        <v>203</v>
      </c>
      <c r="E67" s="5" t="str">
        <f t="shared" si="0"/>
        <v>Ma, 2017</v>
      </c>
      <c r="F67" s="7">
        <v>2017</v>
      </c>
      <c r="G67" s="7" t="s">
        <v>95</v>
      </c>
      <c r="H67" s="10" t="s">
        <v>68</v>
      </c>
      <c r="I67" s="10" t="s">
        <v>96</v>
      </c>
      <c r="J67" s="10" t="s">
        <v>309</v>
      </c>
      <c r="K67" s="10" t="s">
        <v>308</v>
      </c>
      <c r="L67" s="10" t="s">
        <v>169</v>
      </c>
      <c r="M67" s="10" t="s">
        <v>176</v>
      </c>
      <c r="N67" s="10" t="s">
        <v>473</v>
      </c>
      <c r="O67" s="10" t="s">
        <v>56</v>
      </c>
      <c r="P67" s="10" t="s">
        <v>56</v>
      </c>
      <c r="Q67" s="7" t="s">
        <v>30</v>
      </c>
      <c r="R67" s="15" t="s">
        <v>32</v>
      </c>
      <c r="S67" s="7" t="s">
        <v>443</v>
      </c>
      <c r="T67" s="15" t="s">
        <v>765</v>
      </c>
      <c r="U67" s="7" t="s">
        <v>766</v>
      </c>
      <c r="V67" s="88">
        <f>+W67+43</f>
        <v>113</v>
      </c>
      <c r="W67" s="14">
        <v>70</v>
      </c>
      <c r="X67" s="14">
        <v>15</v>
      </c>
      <c r="Y67" s="14"/>
      <c r="Z67" s="14"/>
      <c r="AA67" s="14"/>
      <c r="AB67" s="14"/>
      <c r="AC67" s="14"/>
      <c r="AD67" s="14"/>
      <c r="AE67" s="14"/>
      <c r="AF67" s="14">
        <v>35</v>
      </c>
      <c r="AG67" s="14"/>
      <c r="AH67" s="14">
        <v>35</v>
      </c>
      <c r="AI67" s="14"/>
      <c r="AJ67" s="14"/>
      <c r="AK67" s="14"/>
      <c r="AL67" s="14">
        <v>1</v>
      </c>
      <c r="AM67" s="14"/>
      <c r="AN67" s="14"/>
      <c r="AO67" s="14"/>
      <c r="AP67" s="14"/>
      <c r="AQ67" s="14"/>
      <c r="AR67" s="14"/>
      <c r="AS67" s="14"/>
      <c r="AT67" s="14"/>
      <c r="AU67" s="14"/>
      <c r="AV67" s="14"/>
      <c r="AW67" s="14"/>
      <c r="AX67" s="14"/>
      <c r="AY67" s="14"/>
      <c r="AZ67" s="14"/>
      <c r="BA67" s="14"/>
      <c r="BB67" s="14"/>
      <c r="BC67" s="20">
        <v>43</v>
      </c>
      <c r="BD67" s="20">
        <v>6</v>
      </c>
      <c r="BE67" s="20"/>
      <c r="BF67" s="20"/>
      <c r="BG67" s="20"/>
      <c r="BH67" s="20"/>
      <c r="BI67" s="20"/>
      <c r="BJ67" s="20"/>
      <c r="BK67" s="20"/>
      <c r="BL67" s="20">
        <v>43</v>
      </c>
      <c r="BM67" s="20"/>
      <c r="BN67" s="20">
        <v>25</v>
      </c>
      <c r="BO67" s="20"/>
      <c r="BP67" s="20"/>
      <c r="BQ67" s="20"/>
      <c r="BR67" s="20">
        <v>3</v>
      </c>
      <c r="BS67" s="20"/>
      <c r="BT67" s="20"/>
      <c r="BU67" s="20"/>
      <c r="BV67" s="20"/>
      <c r="BW67" s="20"/>
      <c r="BX67" s="20"/>
      <c r="BY67" s="20"/>
      <c r="BZ67" s="20"/>
      <c r="CA67" s="20"/>
      <c r="CB67" s="20"/>
      <c r="CC67" s="20"/>
      <c r="CD67" s="20"/>
      <c r="CE67" s="20"/>
      <c r="CF67" s="20"/>
      <c r="CG67" s="20"/>
      <c r="CH67" s="20"/>
      <c r="CI67" s="26"/>
      <c r="CJ67" s="26"/>
      <c r="CK67" s="26"/>
      <c r="CL67" s="26">
        <v>1.6819999999999999</v>
      </c>
      <c r="CM67" s="26">
        <v>4.7320000000000002</v>
      </c>
      <c r="CN67" s="26">
        <v>0.59799999999999998</v>
      </c>
      <c r="CO67" s="9"/>
    </row>
    <row r="68" spans="1:93" s="8" customFormat="1">
      <c r="A68" s="27">
        <v>55</v>
      </c>
      <c r="B68" s="15">
        <f t="shared" ref="B68:B74" si="5">+A68</f>
        <v>55</v>
      </c>
      <c r="C68" s="5" t="s">
        <v>204</v>
      </c>
      <c r="D68" s="5" t="s">
        <v>205</v>
      </c>
      <c r="E68" s="5" t="str">
        <f t="shared" si="0"/>
        <v>Marra, 2006</v>
      </c>
      <c r="F68" s="7">
        <v>2006</v>
      </c>
      <c r="G68" s="7" t="s">
        <v>78</v>
      </c>
      <c r="H68" s="10" t="s">
        <v>68</v>
      </c>
      <c r="I68" s="10" t="s">
        <v>80</v>
      </c>
      <c r="J68" s="10" t="s">
        <v>311</v>
      </c>
      <c r="K68" s="10" t="s">
        <v>312</v>
      </c>
      <c r="L68" s="10" t="s">
        <v>97</v>
      </c>
      <c r="M68" s="10" t="s">
        <v>176</v>
      </c>
      <c r="N68" s="10"/>
      <c r="O68" s="10"/>
      <c r="P68" s="10" t="s">
        <v>41</v>
      </c>
      <c r="Q68" s="7" t="s">
        <v>30</v>
      </c>
      <c r="R68" s="15" t="s">
        <v>32</v>
      </c>
      <c r="S68" s="7" t="s">
        <v>443</v>
      </c>
      <c r="T68" s="15" t="s">
        <v>765</v>
      </c>
      <c r="U68" s="7" t="s">
        <v>766</v>
      </c>
      <c r="V68" s="88">
        <f>+W68+52</f>
        <v>108</v>
      </c>
      <c r="W68" s="14">
        <v>56</v>
      </c>
      <c r="X68" s="14">
        <v>18</v>
      </c>
      <c r="Y68" s="14"/>
      <c r="Z68" s="14"/>
      <c r="AA68" s="14"/>
      <c r="AB68" s="14">
        <v>31</v>
      </c>
      <c r="AC68" s="14"/>
      <c r="AD68" s="14"/>
      <c r="AE68" s="14"/>
      <c r="AF68" s="14"/>
      <c r="AG68" s="14"/>
      <c r="AH68" s="14">
        <v>31</v>
      </c>
      <c r="AI68" s="14"/>
      <c r="AJ68" s="14"/>
      <c r="AK68" s="14"/>
      <c r="AL68" s="14"/>
      <c r="AM68" s="14"/>
      <c r="AN68" s="14"/>
      <c r="AO68" s="14"/>
      <c r="AP68" s="14"/>
      <c r="AQ68" s="14"/>
      <c r="AR68" s="14"/>
      <c r="AS68" s="14"/>
      <c r="AT68" s="14">
        <f>56-19</f>
        <v>37</v>
      </c>
      <c r="AU68" s="14"/>
      <c r="AV68" s="14">
        <v>8</v>
      </c>
      <c r="AW68" s="14">
        <v>23</v>
      </c>
      <c r="AX68" s="14">
        <v>9</v>
      </c>
      <c r="AY68" s="14">
        <v>26</v>
      </c>
      <c r="AZ68" s="14">
        <v>2</v>
      </c>
      <c r="BA68" s="14"/>
      <c r="BB68" s="14"/>
      <c r="BC68" s="20">
        <v>52</v>
      </c>
      <c r="BD68" s="20">
        <v>8</v>
      </c>
      <c r="BE68" s="20"/>
      <c r="BF68" s="20"/>
      <c r="BG68" s="20"/>
      <c r="BH68" s="20">
        <v>18</v>
      </c>
      <c r="BI68" s="20"/>
      <c r="BJ68" s="20"/>
      <c r="BK68" s="20"/>
      <c r="BL68" s="20"/>
      <c r="BM68" s="20"/>
      <c r="BN68" s="20">
        <v>24</v>
      </c>
      <c r="BO68" s="20"/>
      <c r="BP68" s="20"/>
      <c r="BQ68" s="20"/>
      <c r="BR68" s="20"/>
      <c r="BS68" s="20"/>
      <c r="BT68" s="20"/>
      <c r="BU68" s="20"/>
      <c r="BV68" s="20"/>
      <c r="BW68" s="20"/>
      <c r="BX68" s="20"/>
      <c r="BY68" s="20"/>
      <c r="BZ68" s="20">
        <f>52-18</f>
        <v>34</v>
      </c>
      <c r="CA68" s="20"/>
      <c r="CB68" s="20">
        <v>4</v>
      </c>
      <c r="CC68" s="20">
        <v>18</v>
      </c>
      <c r="CD68" s="20">
        <v>10</v>
      </c>
      <c r="CE68" s="20">
        <v>32</v>
      </c>
      <c r="CF68" s="20">
        <v>4</v>
      </c>
      <c r="CG68" s="20"/>
      <c r="CH68" s="20"/>
      <c r="CI68" s="26"/>
      <c r="CJ68" s="26"/>
      <c r="CK68" s="26"/>
      <c r="CL68" s="26"/>
      <c r="CM68" s="26"/>
      <c r="CN68" s="26"/>
      <c r="CO68" s="9" t="s">
        <v>475</v>
      </c>
    </row>
    <row r="69" spans="1:93" s="8" customFormat="1">
      <c r="A69" s="27">
        <v>56</v>
      </c>
      <c r="B69" s="15">
        <f t="shared" si="5"/>
        <v>56</v>
      </c>
      <c r="C69" s="5" t="s">
        <v>206</v>
      </c>
      <c r="D69" s="5" t="s">
        <v>476</v>
      </c>
      <c r="E69" s="5" t="str">
        <f t="shared" si="0"/>
        <v>Meneküe 2019</v>
      </c>
      <c r="F69" s="7">
        <v>2019</v>
      </c>
      <c r="G69" s="7" t="s">
        <v>73</v>
      </c>
      <c r="H69" s="10" t="s">
        <v>68</v>
      </c>
      <c r="I69" s="10" t="s">
        <v>83</v>
      </c>
      <c r="J69" s="10" t="s">
        <v>494</v>
      </c>
      <c r="K69" s="10" t="s">
        <v>313</v>
      </c>
      <c r="L69" s="10" t="s">
        <v>97</v>
      </c>
      <c r="M69" s="10" t="s">
        <v>176</v>
      </c>
      <c r="N69" s="10" t="s">
        <v>474</v>
      </c>
      <c r="O69" s="10" t="s">
        <v>45</v>
      </c>
      <c r="P69" s="10" t="s">
        <v>41</v>
      </c>
      <c r="Q69" s="7" t="s">
        <v>30</v>
      </c>
      <c r="R69" s="15" t="s">
        <v>32</v>
      </c>
      <c r="S69" s="7" t="s">
        <v>429</v>
      </c>
      <c r="T69" s="15" t="s">
        <v>779</v>
      </c>
      <c r="U69" s="7" t="s">
        <v>780</v>
      </c>
      <c r="V69" s="88">
        <f>89+121</f>
        <v>210</v>
      </c>
      <c r="W69" s="14">
        <f>34+77</f>
        <v>111</v>
      </c>
      <c r="X69" s="14">
        <v>77</v>
      </c>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20">
        <f>55+44</f>
        <v>99</v>
      </c>
      <c r="BD69" s="20">
        <f>121-77</f>
        <v>44</v>
      </c>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6"/>
      <c r="CJ69" s="26"/>
      <c r="CK69" s="26"/>
      <c r="CL69" s="26">
        <v>2.8</v>
      </c>
      <c r="CM69" s="26">
        <v>4.9800000000000004</v>
      </c>
      <c r="CN69" s="26">
        <v>1.6</v>
      </c>
      <c r="CO69" s="9"/>
    </row>
    <row r="70" spans="1:93" s="8" customFormat="1">
      <c r="A70" s="27">
        <v>57</v>
      </c>
      <c r="B70" s="15">
        <f t="shared" si="5"/>
        <v>57</v>
      </c>
      <c r="C70" s="5" t="s">
        <v>207</v>
      </c>
      <c r="D70" s="5" t="s">
        <v>208</v>
      </c>
      <c r="E70" s="5" t="str">
        <f t="shared" si="0"/>
        <v>Metan, 2009</v>
      </c>
      <c r="F70" s="7">
        <v>2009</v>
      </c>
      <c r="G70" s="7" t="s">
        <v>73</v>
      </c>
      <c r="H70" s="10" t="s">
        <v>68</v>
      </c>
      <c r="I70" s="10" t="s">
        <v>83</v>
      </c>
      <c r="J70" s="10" t="s">
        <v>314</v>
      </c>
      <c r="K70" s="10" t="s">
        <v>315</v>
      </c>
      <c r="L70" s="6" t="s">
        <v>36</v>
      </c>
      <c r="M70" s="6" t="s">
        <v>675</v>
      </c>
      <c r="N70" s="10" t="s">
        <v>422</v>
      </c>
      <c r="O70" s="10" t="s">
        <v>45</v>
      </c>
      <c r="P70" s="10" t="s">
        <v>41</v>
      </c>
      <c r="Q70" s="7" t="s">
        <v>30</v>
      </c>
      <c r="R70" s="15" t="s">
        <v>32</v>
      </c>
      <c r="S70" s="7" t="s">
        <v>429</v>
      </c>
      <c r="T70" s="15" t="s">
        <v>781</v>
      </c>
      <c r="U70" s="7" t="s">
        <v>782</v>
      </c>
      <c r="V70" s="88">
        <v>100</v>
      </c>
      <c r="W70" s="14">
        <f>41+13</f>
        <v>54</v>
      </c>
      <c r="X70" s="14">
        <v>41</v>
      </c>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20">
        <v>46</v>
      </c>
      <c r="BD70" s="20">
        <f>63-41</f>
        <v>22</v>
      </c>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6"/>
      <c r="CJ70" s="26"/>
      <c r="CK70" s="26"/>
      <c r="CL70" s="26"/>
      <c r="CM70" s="26"/>
      <c r="CN70" s="26"/>
      <c r="CO70" s="9"/>
    </row>
    <row r="71" spans="1:93" s="8" customFormat="1" ht="16" customHeight="1">
      <c r="A71" s="27">
        <v>58</v>
      </c>
      <c r="B71" s="15">
        <f t="shared" si="5"/>
        <v>58</v>
      </c>
      <c r="C71" s="5" t="s">
        <v>209</v>
      </c>
      <c r="D71" s="5" t="s">
        <v>210</v>
      </c>
      <c r="E71" s="5" t="str">
        <f t="shared" si="0"/>
        <v>Moghnieh, 2015</v>
      </c>
      <c r="F71" s="7">
        <v>2015</v>
      </c>
      <c r="G71" s="7" t="s">
        <v>316</v>
      </c>
      <c r="H71" s="10" t="s">
        <v>68</v>
      </c>
      <c r="I71" s="10" t="s">
        <v>81</v>
      </c>
      <c r="J71" s="10" t="s">
        <v>317</v>
      </c>
      <c r="K71" s="10" t="s">
        <v>318</v>
      </c>
      <c r="L71" s="38" t="s">
        <v>477</v>
      </c>
      <c r="M71" s="38" t="s">
        <v>408</v>
      </c>
      <c r="N71" s="10" t="s">
        <v>408</v>
      </c>
      <c r="O71" s="10" t="s">
        <v>56</v>
      </c>
      <c r="P71" s="10" t="s">
        <v>56</v>
      </c>
      <c r="Q71" s="7" t="s">
        <v>408</v>
      </c>
      <c r="R71" s="15" t="s">
        <v>408</v>
      </c>
      <c r="S71" s="7" t="s">
        <v>434</v>
      </c>
      <c r="T71" s="15" t="s">
        <v>434</v>
      </c>
      <c r="U71" s="7" t="s">
        <v>770</v>
      </c>
      <c r="V71" s="88">
        <f>68+7</f>
        <v>75</v>
      </c>
      <c r="W71" s="14">
        <v>7</v>
      </c>
      <c r="X71" s="14">
        <v>4</v>
      </c>
      <c r="Y71" s="14"/>
      <c r="Z71" s="14"/>
      <c r="AA71" s="14"/>
      <c r="AB71" s="14"/>
      <c r="AC71" s="14"/>
      <c r="AD71" s="14"/>
      <c r="AE71" s="14"/>
      <c r="AF71" s="14"/>
      <c r="AG71" s="14"/>
      <c r="AH71" s="14">
        <v>4</v>
      </c>
      <c r="AI71" s="14"/>
      <c r="AJ71" s="14"/>
      <c r="AK71" s="14"/>
      <c r="AL71" s="14"/>
      <c r="AM71" s="14"/>
      <c r="AN71" s="14"/>
      <c r="AO71" s="14">
        <v>1</v>
      </c>
      <c r="AP71" s="14"/>
      <c r="AQ71" s="14"/>
      <c r="AR71" s="14"/>
      <c r="AS71" s="14"/>
      <c r="AT71" s="14"/>
      <c r="AU71" s="14"/>
      <c r="AV71" s="14"/>
      <c r="AW71" s="14"/>
      <c r="AX71" s="14"/>
      <c r="AY71" s="14"/>
      <c r="AZ71" s="14"/>
      <c r="BA71" s="14"/>
      <c r="BB71" s="14"/>
      <c r="BC71" s="20">
        <v>68</v>
      </c>
      <c r="BD71" s="20">
        <v>3</v>
      </c>
      <c r="BE71" s="20"/>
      <c r="BF71" s="20"/>
      <c r="BG71" s="20"/>
      <c r="BH71" s="20"/>
      <c r="BI71" s="20"/>
      <c r="BJ71" s="20"/>
      <c r="BK71" s="20"/>
      <c r="BL71" s="20"/>
      <c r="BM71" s="20"/>
      <c r="BN71" s="20">
        <v>35</v>
      </c>
      <c r="BO71" s="20"/>
      <c r="BP71" s="20"/>
      <c r="BQ71" s="20"/>
      <c r="BR71" s="20"/>
      <c r="BS71" s="20"/>
      <c r="BT71" s="20"/>
      <c r="BU71" s="20">
        <v>3</v>
      </c>
      <c r="BV71" s="20"/>
      <c r="BW71" s="20"/>
      <c r="BX71" s="20"/>
      <c r="BY71" s="20"/>
      <c r="BZ71" s="20"/>
      <c r="CA71" s="20"/>
      <c r="CB71" s="20"/>
      <c r="CC71" s="20"/>
      <c r="CD71" s="20"/>
      <c r="CE71" s="20"/>
      <c r="CF71" s="20"/>
      <c r="CG71" s="20"/>
      <c r="CH71" s="20"/>
      <c r="CI71" s="26"/>
      <c r="CJ71" s="26"/>
      <c r="CK71" s="26"/>
      <c r="CL71" s="26"/>
      <c r="CM71" s="26"/>
      <c r="CN71" s="26"/>
      <c r="CO71" s="9"/>
    </row>
    <row r="72" spans="1:93" s="8" customFormat="1">
      <c r="A72" s="27">
        <v>59</v>
      </c>
      <c r="B72" s="15">
        <f t="shared" si="5"/>
        <v>59</v>
      </c>
      <c r="C72" s="5" t="s">
        <v>211</v>
      </c>
      <c r="D72" s="5" t="s">
        <v>212</v>
      </c>
      <c r="E72" s="5" t="str">
        <f t="shared" si="0"/>
        <v>Moreira, 1998</v>
      </c>
      <c r="F72" s="7">
        <v>1998</v>
      </c>
      <c r="G72" s="7" t="s">
        <v>78</v>
      </c>
      <c r="H72" s="10" t="s">
        <v>68</v>
      </c>
      <c r="I72" s="10" t="s">
        <v>80</v>
      </c>
      <c r="J72" s="10" t="s">
        <v>319</v>
      </c>
      <c r="K72" s="10" t="s">
        <v>478</v>
      </c>
      <c r="L72" s="10" t="s">
        <v>62</v>
      </c>
      <c r="M72" s="10" t="s">
        <v>643</v>
      </c>
      <c r="N72" s="10" t="s">
        <v>320</v>
      </c>
      <c r="O72" s="5" t="s">
        <v>42</v>
      </c>
      <c r="P72" s="5" t="s">
        <v>41</v>
      </c>
      <c r="Q72" s="7" t="s">
        <v>51</v>
      </c>
      <c r="R72" s="16" t="s">
        <v>52</v>
      </c>
      <c r="S72" s="87" t="s">
        <v>429</v>
      </c>
      <c r="T72" s="37" t="s">
        <v>794</v>
      </c>
      <c r="U72" s="87" t="s">
        <v>795</v>
      </c>
      <c r="V72" s="88">
        <f>+W72*2</f>
        <v>142</v>
      </c>
      <c r="W72" s="14">
        <v>71</v>
      </c>
      <c r="X72" s="14">
        <v>40</v>
      </c>
      <c r="Y72" s="14">
        <v>32.700000000000003</v>
      </c>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20">
        <v>71</v>
      </c>
      <c r="BD72" s="20">
        <v>8</v>
      </c>
      <c r="BE72" s="20">
        <v>29.7</v>
      </c>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6">
        <v>17</v>
      </c>
      <c r="CJ72" s="26">
        <v>202.26</v>
      </c>
      <c r="CK72" s="26">
        <v>3.58</v>
      </c>
      <c r="CL72" s="26"/>
      <c r="CM72" s="26"/>
      <c r="CN72" s="26"/>
      <c r="CO72" s="9"/>
    </row>
    <row r="73" spans="1:93" s="8" customFormat="1">
      <c r="A73" s="27">
        <v>60</v>
      </c>
      <c r="B73" s="15">
        <f t="shared" si="5"/>
        <v>60</v>
      </c>
      <c r="C73" s="5" t="s">
        <v>213</v>
      </c>
      <c r="D73" s="5" t="s">
        <v>214</v>
      </c>
      <c r="E73" s="5" t="str">
        <f t="shared" si="0"/>
        <v>Najmi, 2019</v>
      </c>
      <c r="F73" s="7">
        <v>2019</v>
      </c>
      <c r="G73" s="7" t="s">
        <v>29</v>
      </c>
      <c r="H73" s="10" t="s">
        <v>69</v>
      </c>
      <c r="I73" s="10" t="s">
        <v>82</v>
      </c>
      <c r="J73" s="10" t="s">
        <v>479</v>
      </c>
      <c r="K73" s="10" t="s">
        <v>321</v>
      </c>
      <c r="L73" s="10" t="s">
        <v>169</v>
      </c>
      <c r="M73" s="10" t="s">
        <v>176</v>
      </c>
      <c r="N73" s="10" t="s">
        <v>644</v>
      </c>
      <c r="O73" s="10" t="s">
        <v>56</v>
      </c>
      <c r="P73" s="10" t="s">
        <v>56</v>
      </c>
      <c r="Q73" s="7" t="s">
        <v>30</v>
      </c>
      <c r="R73" s="15" t="s">
        <v>32</v>
      </c>
      <c r="S73" s="7" t="s">
        <v>443</v>
      </c>
      <c r="T73" s="15" t="s">
        <v>765</v>
      </c>
      <c r="U73" s="7" t="s">
        <v>766</v>
      </c>
      <c r="V73" s="88">
        <v>182</v>
      </c>
      <c r="W73" s="14">
        <v>101</v>
      </c>
      <c r="X73" s="13">
        <f>0.29*W73</f>
        <v>29.29</v>
      </c>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20">
        <f>182-101</f>
        <v>81</v>
      </c>
      <c r="BD73" s="21">
        <f>0.24*BC73</f>
        <v>19.439999999999998</v>
      </c>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6"/>
      <c r="CJ73" s="26"/>
      <c r="CK73" s="26"/>
      <c r="CL73" s="26"/>
      <c r="CM73" s="26"/>
      <c r="CN73" s="26"/>
      <c r="CO73" s="9"/>
    </row>
    <row r="74" spans="1:93" s="8" customFormat="1">
      <c r="A74" s="27">
        <v>61</v>
      </c>
      <c r="B74" s="15">
        <f t="shared" si="5"/>
        <v>61</v>
      </c>
      <c r="C74" s="5" t="s">
        <v>215</v>
      </c>
      <c r="D74" s="5" t="s">
        <v>216</v>
      </c>
      <c r="E74" s="5" t="str">
        <f t="shared" si="0"/>
        <v>Niu, 2018</v>
      </c>
      <c r="F74" s="7">
        <v>2018</v>
      </c>
      <c r="G74" s="7" t="s">
        <v>95</v>
      </c>
      <c r="H74" s="10" t="s">
        <v>68</v>
      </c>
      <c r="I74" s="10" t="s">
        <v>96</v>
      </c>
      <c r="J74" s="10" t="s">
        <v>322</v>
      </c>
      <c r="K74" s="10" t="s">
        <v>480</v>
      </c>
      <c r="L74" s="6" t="s">
        <v>36</v>
      </c>
      <c r="M74" s="6" t="s">
        <v>675</v>
      </c>
      <c r="N74" s="10" t="s">
        <v>458</v>
      </c>
      <c r="O74" s="10" t="s">
        <v>45</v>
      </c>
      <c r="P74" s="10" t="s">
        <v>41</v>
      </c>
      <c r="Q74" s="7" t="s">
        <v>30</v>
      </c>
      <c r="R74" s="15" t="s">
        <v>32</v>
      </c>
      <c r="S74" s="7" t="s">
        <v>429</v>
      </c>
      <c r="T74" s="15" t="s">
        <v>781</v>
      </c>
      <c r="U74" s="7" t="s">
        <v>782</v>
      </c>
      <c r="V74" s="88">
        <f>51+242</f>
        <v>293</v>
      </c>
      <c r="W74" s="14">
        <v>242</v>
      </c>
      <c r="X74" s="14">
        <v>84</v>
      </c>
      <c r="Y74" s="14"/>
      <c r="Z74" s="14"/>
      <c r="AA74" s="14"/>
      <c r="AB74" s="13"/>
      <c r="AC74" s="13"/>
      <c r="AD74" s="14"/>
      <c r="AE74" s="14"/>
      <c r="AF74" s="14"/>
      <c r="AG74" s="14"/>
      <c r="AH74" s="14">
        <f>242-164</f>
        <v>78</v>
      </c>
      <c r="AI74" s="14">
        <v>101</v>
      </c>
      <c r="AJ74" s="14">
        <v>74</v>
      </c>
      <c r="AK74" s="14"/>
      <c r="AL74" s="14">
        <v>50</v>
      </c>
      <c r="AM74" s="14">
        <v>94</v>
      </c>
      <c r="AN74" s="14">
        <v>31</v>
      </c>
      <c r="AO74" s="14">
        <v>15</v>
      </c>
      <c r="AP74" s="14"/>
      <c r="AQ74" s="14">
        <v>48</v>
      </c>
      <c r="AR74" s="14">
        <v>23</v>
      </c>
      <c r="AS74" s="14"/>
      <c r="AT74" s="14"/>
      <c r="AU74" s="14"/>
      <c r="AV74" s="14"/>
      <c r="AW74" s="14"/>
      <c r="AX74" s="14"/>
      <c r="AY74" s="14"/>
      <c r="AZ74" s="14"/>
      <c r="BA74" s="14"/>
      <c r="BB74" s="14"/>
      <c r="BC74" s="20">
        <v>51</v>
      </c>
      <c r="BD74" s="20">
        <v>2</v>
      </c>
      <c r="BE74" s="20"/>
      <c r="BF74" s="20"/>
      <c r="BG74" s="20"/>
      <c r="BH74" s="20"/>
      <c r="BI74" s="20"/>
      <c r="BJ74" s="20"/>
      <c r="BK74" s="20"/>
      <c r="BL74" s="20"/>
      <c r="BM74" s="20"/>
      <c r="BN74" s="20">
        <f>51-37</f>
        <v>14</v>
      </c>
      <c r="BO74" s="20">
        <v>17</v>
      </c>
      <c r="BP74" s="20">
        <v>2</v>
      </c>
      <c r="BQ74" s="20"/>
      <c r="BR74" s="20">
        <v>3</v>
      </c>
      <c r="BS74" s="20">
        <v>14</v>
      </c>
      <c r="BT74" s="20">
        <v>5</v>
      </c>
      <c r="BU74" s="20">
        <v>2</v>
      </c>
      <c r="BV74" s="20"/>
      <c r="BW74" s="20">
        <v>4</v>
      </c>
      <c r="BX74" s="20">
        <v>3</v>
      </c>
      <c r="BY74" s="20"/>
      <c r="BZ74" s="20"/>
      <c r="CA74" s="20"/>
      <c r="CB74" s="20"/>
      <c r="CC74" s="20"/>
      <c r="CD74" s="20"/>
      <c r="CE74" s="20"/>
      <c r="CF74" s="20"/>
      <c r="CG74" s="20"/>
      <c r="CH74" s="20"/>
      <c r="CI74" s="26"/>
      <c r="CJ74" s="26"/>
      <c r="CK74" s="26"/>
      <c r="CL74" s="26">
        <v>4.9660000000000002</v>
      </c>
      <c r="CM74" s="26">
        <v>41.365000000000002</v>
      </c>
      <c r="CN74" s="26">
        <v>0.56899999999999995</v>
      </c>
      <c r="CO74" s="9"/>
    </row>
    <row r="75" spans="1:93" s="8" customFormat="1">
      <c r="A75" s="27">
        <v>62</v>
      </c>
      <c r="B75" s="15">
        <v>55</v>
      </c>
      <c r="C75" s="5" t="s">
        <v>217</v>
      </c>
      <c r="D75" s="5" t="s">
        <v>218</v>
      </c>
      <c r="E75" s="5" t="str">
        <f t="shared" ref="E75:E133" si="6">+CONCATENATE(LEFT(D75,FIND(" ",D75,1)),F75)</f>
        <v>Palavutitotai, 2018</v>
      </c>
      <c r="F75" s="7">
        <v>2018</v>
      </c>
      <c r="G75" s="7" t="s">
        <v>54</v>
      </c>
      <c r="H75" s="10" t="s">
        <v>68</v>
      </c>
      <c r="I75" s="10" t="s">
        <v>82</v>
      </c>
      <c r="J75" s="10" t="s">
        <v>324</v>
      </c>
      <c r="K75" s="10" t="s">
        <v>323</v>
      </c>
      <c r="L75" s="10" t="s">
        <v>107</v>
      </c>
      <c r="M75" s="10" t="s">
        <v>642</v>
      </c>
      <c r="N75" s="10" t="s">
        <v>481</v>
      </c>
      <c r="O75" s="10" t="s">
        <v>56</v>
      </c>
      <c r="P75" s="10" t="s">
        <v>56</v>
      </c>
      <c r="Q75" s="7" t="s">
        <v>30</v>
      </c>
      <c r="R75" s="15" t="s">
        <v>32</v>
      </c>
      <c r="S75" s="7" t="s">
        <v>426</v>
      </c>
      <c r="T75" s="15" t="s">
        <v>426</v>
      </c>
      <c r="U75" s="7" t="s">
        <v>767</v>
      </c>
      <c r="V75" s="88">
        <f>199+W75</f>
        <v>255</v>
      </c>
      <c r="W75" s="14">
        <v>56</v>
      </c>
      <c r="X75" s="14">
        <v>23</v>
      </c>
      <c r="Y75" s="14">
        <v>53.5</v>
      </c>
      <c r="Z75" s="14">
        <v>40.1</v>
      </c>
      <c r="AA75" s="14"/>
      <c r="AB75" s="14">
        <v>8</v>
      </c>
      <c r="AC75" s="14"/>
      <c r="AD75" s="14"/>
      <c r="AE75" s="14"/>
      <c r="AF75" s="14">
        <v>68</v>
      </c>
      <c r="AG75" s="14">
        <v>15.1</v>
      </c>
      <c r="AH75" s="14">
        <f>56-34</f>
        <v>22</v>
      </c>
      <c r="AI75" s="14"/>
      <c r="AJ75" s="14"/>
      <c r="AK75" s="14"/>
      <c r="AL75" s="14">
        <v>21</v>
      </c>
      <c r="AM75" s="14">
        <v>35</v>
      </c>
      <c r="AN75" s="14">
        <v>15</v>
      </c>
      <c r="AO75" s="14">
        <v>14</v>
      </c>
      <c r="AP75" s="14"/>
      <c r="AQ75" s="14">
        <v>23</v>
      </c>
      <c r="AR75" s="14">
        <v>8</v>
      </c>
      <c r="AS75" s="14">
        <v>5</v>
      </c>
      <c r="AT75" s="14">
        <v>177</v>
      </c>
      <c r="AU75" s="14"/>
      <c r="AV75" s="14">
        <v>16</v>
      </c>
      <c r="AW75" s="14">
        <f>12+7</f>
        <v>19</v>
      </c>
      <c r="AX75" s="14">
        <v>3</v>
      </c>
      <c r="AY75" s="14">
        <v>10</v>
      </c>
      <c r="AZ75" s="14">
        <v>8</v>
      </c>
      <c r="BA75" s="14">
        <v>11.1</v>
      </c>
      <c r="BB75" s="14"/>
      <c r="BC75" s="20">
        <v>199</v>
      </c>
      <c r="BD75" s="20">
        <v>50</v>
      </c>
      <c r="BE75" s="20">
        <v>45.5</v>
      </c>
      <c r="BF75" s="20">
        <v>40.1</v>
      </c>
      <c r="BG75" s="20"/>
      <c r="BH75" s="20">
        <v>42</v>
      </c>
      <c r="BI75" s="20"/>
      <c r="BJ75" s="20"/>
      <c r="BK75" s="20"/>
      <c r="BL75" s="39">
        <v>64</v>
      </c>
      <c r="BM75" s="39">
        <v>18.2</v>
      </c>
      <c r="BN75" s="20">
        <f>199-112</f>
        <v>87</v>
      </c>
      <c r="BO75" s="20"/>
      <c r="BP75" s="20"/>
      <c r="BQ75" s="20"/>
      <c r="BR75" s="20">
        <v>66</v>
      </c>
      <c r="BS75" s="20">
        <v>122</v>
      </c>
      <c r="BT75" s="20"/>
      <c r="BU75" s="20">
        <v>49</v>
      </c>
      <c r="BV75" s="20"/>
      <c r="BW75" s="20">
        <v>56</v>
      </c>
      <c r="BX75" s="20">
        <v>24</v>
      </c>
      <c r="BY75" s="20">
        <v>23</v>
      </c>
      <c r="BZ75" s="20">
        <v>151</v>
      </c>
      <c r="CA75" s="20"/>
      <c r="CB75" s="20">
        <v>38</v>
      </c>
      <c r="CC75" s="20">
        <f>23+32+37</f>
        <v>92</v>
      </c>
      <c r="CD75" s="20">
        <f>17+6</f>
        <v>23</v>
      </c>
      <c r="CE75" s="20">
        <f>16+7</f>
        <v>23</v>
      </c>
      <c r="CF75" s="20">
        <f>199-176</f>
        <v>23</v>
      </c>
      <c r="CG75" s="20">
        <v>10.199999999999999</v>
      </c>
      <c r="CH75" s="20"/>
      <c r="CI75" s="26">
        <v>2.79</v>
      </c>
      <c r="CJ75" s="26">
        <v>5.41</v>
      </c>
      <c r="CK75" s="26">
        <v>1.44</v>
      </c>
      <c r="CL75" s="26">
        <v>2.73</v>
      </c>
      <c r="CM75" s="26">
        <v>7.08</v>
      </c>
      <c r="CN75" s="26">
        <v>1.05</v>
      </c>
      <c r="CO75" s="9"/>
    </row>
    <row r="76" spans="1:93" s="8" customFormat="1">
      <c r="A76" s="27">
        <v>63</v>
      </c>
      <c r="B76" s="15">
        <f>+A76</f>
        <v>63</v>
      </c>
      <c r="C76" s="5" t="s">
        <v>219</v>
      </c>
      <c r="D76" s="5" t="s">
        <v>220</v>
      </c>
      <c r="E76" s="5" t="str">
        <f t="shared" si="6"/>
        <v>Porto, 2013</v>
      </c>
      <c r="F76" s="7">
        <v>2013</v>
      </c>
      <c r="G76" s="7" t="s">
        <v>78</v>
      </c>
      <c r="H76" s="10" t="s">
        <v>68</v>
      </c>
      <c r="I76" s="10" t="s">
        <v>80</v>
      </c>
      <c r="J76" s="10" t="s">
        <v>325</v>
      </c>
      <c r="K76" s="10" t="s">
        <v>409</v>
      </c>
      <c r="L76" s="10" t="s">
        <v>62</v>
      </c>
      <c r="M76" s="10" t="s">
        <v>643</v>
      </c>
      <c r="N76" s="10" t="s">
        <v>63</v>
      </c>
      <c r="O76" s="10" t="s">
        <v>42</v>
      </c>
      <c r="P76" s="10" t="s">
        <v>41</v>
      </c>
      <c r="Q76" s="7" t="s">
        <v>51</v>
      </c>
      <c r="R76" s="15" t="s">
        <v>52</v>
      </c>
      <c r="S76" s="7" t="s">
        <v>429</v>
      </c>
      <c r="T76" s="15" t="s">
        <v>771</v>
      </c>
      <c r="U76" s="7" t="s">
        <v>772</v>
      </c>
      <c r="V76" s="88">
        <f>169+61</f>
        <v>230</v>
      </c>
      <c r="W76" s="14">
        <v>61</v>
      </c>
      <c r="X76" s="13">
        <f>+W76*0.714</f>
        <v>43.553999999999995</v>
      </c>
      <c r="Y76" s="14">
        <v>43.2</v>
      </c>
      <c r="Z76" s="14">
        <v>44.5</v>
      </c>
      <c r="AA76" s="14"/>
      <c r="AB76" s="13"/>
      <c r="AC76" s="13"/>
      <c r="AD76" s="14"/>
      <c r="AE76" s="14"/>
      <c r="AF76" s="14">
        <v>48.3</v>
      </c>
      <c r="AG76" s="14">
        <v>21.9</v>
      </c>
      <c r="AH76" s="14">
        <f>61-38</f>
        <v>23</v>
      </c>
      <c r="AI76" s="14">
        <v>23</v>
      </c>
      <c r="AJ76" s="14"/>
      <c r="AK76" s="14"/>
      <c r="AL76" s="14">
        <v>11</v>
      </c>
      <c r="AM76" s="14"/>
      <c r="AN76" s="14">
        <v>9</v>
      </c>
      <c r="AO76" s="14"/>
      <c r="AP76" s="14"/>
      <c r="AQ76" s="14"/>
      <c r="AR76" s="14"/>
      <c r="AS76" s="14"/>
      <c r="AT76" s="14"/>
      <c r="AU76" s="14"/>
      <c r="AV76" s="14"/>
      <c r="AW76" s="14"/>
      <c r="AX76" s="14"/>
      <c r="AY76" s="14"/>
      <c r="AZ76" s="14"/>
      <c r="BA76" s="14"/>
      <c r="BB76" s="14"/>
      <c r="BC76" s="20">
        <v>169</v>
      </c>
      <c r="BD76" s="21">
        <f>+BC76*0.214</f>
        <v>36.165999999999997</v>
      </c>
      <c r="BE76" s="20">
        <v>20.5</v>
      </c>
      <c r="BF76" s="20">
        <v>23.9</v>
      </c>
      <c r="BG76" s="20"/>
      <c r="BH76" s="20"/>
      <c r="BI76" s="20"/>
      <c r="BJ76" s="20"/>
      <c r="BK76" s="20"/>
      <c r="BL76" s="20">
        <v>39.1</v>
      </c>
      <c r="BM76" s="20">
        <v>25.6</v>
      </c>
      <c r="BN76" s="20">
        <f>+BC76-95</f>
        <v>74</v>
      </c>
      <c r="BO76" s="20">
        <v>63</v>
      </c>
      <c r="BP76" s="20"/>
      <c r="BQ76" s="20"/>
      <c r="BR76" s="20">
        <v>19</v>
      </c>
      <c r="BS76" s="20"/>
      <c r="BT76" s="20">
        <v>13</v>
      </c>
      <c r="BU76" s="20"/>
      <c r="BV76" s="20"/>
      <c r="BW76" s="20"/>
      <c r="BX76" s="20"/>
      <c r="BY76" s="20"/>
      <c r="BZ76" s="20"/>
      <c r="CA76" s="20"/>
      <c r="CB76" s="20"/>
      <c r="CC76" s="20"/>
      <c r="CD76" s="20"/>
      <c r="CE76" s="20"/>
      <c r="CF76" s="20"/>
      <c r="CG76" s="20"/>
      <c r="CH76" s="20"/>
      <c r="CI76" s="26"/>
      <c r="CJ76" s="26"/>
      <c r="CK76" s="26"/>
      <c r="CL76" s="26"/>
      <c r="CM76" s="26"/>
      <c r="CN76" s="26"/>
      <c r="CO76" s="9" t="s">
        <v>482</v>
      </c>
    </row>
    <row r="77" spans="1:93" s="8" customFormat="1">
      <c r="A77" s="27">
        <v>64</v>
      </c>
      <c r="B77" s="15">
        <f t="shared" ref="B77:B80" si="7">+A77</f>
        <v>64</v>
      </c>
      <c r="C77" s="5" t="s">
        <v>327</v>
      </c>
      <c r="D77" s="5" t="s">
        <v>326</v>
      </c>
      <c r="E77" s="5" t="str">
        <f t="shared" si="6"/>
        <v>Rao 2020</v>
      </c>
      <c r="F77" s="7">
        <v>2020</v>
      </c>
      <c r="G77" s="7" t="s">
        <v>29</v>
      </c>
      <c r="H77" s="10" t="s">
        <v>69</v>
      </c>
      <c r="I77" s="10" t="s">
        <v>82</v>
      </c>
      <c r="J77" s="10" t="s">
        <v>328</v>
      </c>
      <c r="K77" s="10" t="s">
        <v>409</v>
      </c>
      <c r="L77" s="10" t="s">
        <v>483</v>
      </c>
      <c r="M77" s="10" t="s">
        <v>164</v>
      </c>
      <c r="N77" s="10" t="s">
        <v>50</v>
      </c>
      <c r="O77" s="10" t="s">
        <v>46</v>
      </c>
      <c r="P77" s="10" t="s">
        <v>59</v>
      </c>
      <c r="Q77" s="7" t="s">
        <v>51</v>
      </c>
      <c r="R77" s="15" t="s">
        <v>52</v>
      </c>
      <c r="S77" s="7" t="s">
        <v>429</v>
      </c>
      <c r="T77" s="15" t="s">
        <v>768</v>
      </c>
      <c r="U77" s="7" t="s">
        <v>769</v>
      </c>
      <c r="V77" s="88">
        <v>173</v>
      </c>
      <c r="W77" s="14">
        <v>73</v>
      </c>
      <c r="X77" s="14">
        <v>27</v>
      </c>
      <c r="Y77" s="14">
        <v>34.47</v>
      </c>
      <c r="Z77" s="14">
        <v>43.31</v>
      </c>
      <c r="AA77" s="14">
        <f>+Y77-11.48</f>
        <v>22.99</v>
      </c>
      <c r="AB77" s="14">
        <v>21</v>
      </c>
      <c r="AC77" s="14"/>
      <c r="AD77" s="14"/>
      <c r="AE77" s="14"/>
      <c r="AF77" s="14">
        <v>35.06</v>
      </c>
      <c r="AG77" s="14">
        <v>23.48</v>
      </c>
      <c r="AH77" s="14">
        <v>31</v>
      </c>
      <c r="AI77" s="14">
        <v>20</v>
      </c>
      <c r="AJ77" s="14">
        <v>30</v>
      </c>
      <c r="AK77" s="14"/>
      <c r="AL77" s="14">
        <v>10</v>
      </c>
      <c r="AM77" s="14"/>
      <c r="AN77" s="14"/>
      <c r="AO77" s="14">
        <v>9</v>
      </c>
      <c r="AP77" s="14">
        <v>4</v>
      </c>
      <c r="AQ77" s="14">
        <v>6</v>
      </c>
      <c r="AR77" s="14"/>
      <c r="AS77" s="14">
        <v>44</v>
      </c>
      <c r="AT77" s="14"/>
      <c r="AU77" s="14"/>
      <c r="AV77" s="14"/>
      <c r="AW77" s="14"/>
      <c r="AX77" s="14"/>
      <c r="AY77" s="14"/>
      <c r="AZ77" s="14"/>
      <c r="BA77" s="14"/>
      <c r="BB77" s="14">
        <v>2.04</v>
      </c>
      <c r="BC77" s="20">
        <v>100</v>
      </c>
      <c r="BD77" s="20">
        <v>33</v>
      </c>
      <c r="BE77" s="20">
        <v>26.25</v>
      </c>
      <c r="BF77" s="20">
        <v>21.9</v>
      </c>
      <c r="BG77" s="20">
        <f>+BE77-11.33</f>
        <v>14.92</v>
      </c>
      <c r="BH77" s="20">
        <v>41</v>
      </c>
      <c r="BI77" s="20"/>
      <c r="BJ77" s="20"/>
      <c r="BK77" s="20"/>
      <c r="BL77" s="20">
        <v>41.11</v>
      </c>
      <c r="BM77" s="20">
        <v>23.27</v>
      </c>
      <c r="BN77" s="20">
        <v>38</v>
      </c>
      <c r="BO77" s="20">
        <v>39</v>
      </c>
      <c r="BP77" s="20">
        <v>18</v>
      </c>
      <c r="BQ77" s="20"/>
      <c r="BR77" s="20">
        <v>17</v>
      </c>
      <c r="BS77" s="20"/>
      <c r="BT77" s="20"/>
      <c r="BU77" s="20">
        <v>17</v>
      </c>
      <c r="BV77" s="20">
        <v>16</v>
      </c>
      <c r="BW77" s="20">
        <v>5</v>
      </c>
      <c r="BX77" s="20"/>
      <c r="BY77" s="20">
        <v>13</v>
      </c>
      <c r="BZ77" s="20"/>
      <c r="CA77" s="20"/>
      <c r="CB77" s="20"/>
      <c r="CC77" s="20"/>
      <c r="CD77" s="20"/>
      <c r="CE77" s="20"/>
      <c r="CF77" s="20"/>
      <c r="CG77" s="20"/>
      <c r="CH77" s="20">
        <v>1.43</v>
      </c>
      <c r="CI77" s="26">
        <v>1.92</v>
      </c>
      <c r="CJ77" s="26">
        <v>2.2400000000000002</v>
      </c>
      <c r="CK77" s="26">
        <v>0.63</v>
      </c>
      <c r="CL77" s="26"/>
      <c r="CM77" s="26"/>
      <c r="CN77" s="26"/>
      <c r="CO77" s="9"/>
    </row>
    <row r="78" spans="1:93" s="8" customFormat="1">
      <c r="A78" s="27">
        <v>65</v>
      </c>
      <c r="B78" s="15">
        <f t="shared" si="7"/>
        <v>65</v>
      </c>
      <c r="C78" s="5" t="s">
        <v>221</v>
      </c>
      <c r="D78" s="5" t="s">
        <v>222</v>
      </c>
      <c r="E78" s="5" t="str">
        <f t="shared" si="6"/>
        <v>Seboxa, 2015</v>
      </c>
      <c r="F78" s="7">
        <v>2015</v>
      </c>
      <c r="G78" s="7" t="s">
        <v>330</v>
      </c>
      <c r="H78" s="10" t="s">
        <v>331</v>
      </c>
      <c r="I78" s="10" t="s">
        <v>310</v>
      </c>
      <c r="J78" s="10" t="s">
        <v>329</v>
      </c>
      <c r="K78" s="10" t="s">
        <v>485</v>
      </c>
      <c r="L78" s="10" t="s">
        <v>169</v>
      </c>
      <c r="M78" s="10" t="s">
        <v>176</v>
      </c>
      <c r="N78" s="10" t="s">
        <v>484</v>
      </c>
      <c r="O78" s="10" t="s">
        <v>43</v>
      </c>
      <c r="P78" s="10" t="s">
        <v>41</v>
      </c>
      <c r="Q78" s="7" t="s">
        <v>30</v>
      </c>
      <c r="R78" s="15" t="s">
        <v>32</v>
      </c>
      <c r="S78" s="7" t="s">
        <v>429</v>
      </c>
      <c r="T78" s="15" t="s">
        <v>796</v>
      </c>
      <c r="U78" s="7" t="s">
        <v>797</v>
      </c>
      <c r="V78" s="88">
        <v>16</v>
      </c>
      <c r="W78" s="14">
        <v>10</v>
      </c>
      <c r="X78" s="14">
        <v>10</v>
      </c>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20">
        <v>6</v>
      </c>
      <c r="BD78" s="20">
        <v>0</v>
      </c>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6"/>
      <c r="CJ78" s="26"/>
      <c r="CK78" s="26"/>
      <c r="CL78" s="26"/>
      <c r="CM78" s="26"/>
      <c r="CN78" s="26"/>
      <c r="CO78" s="9"/>
    </row>
    <row r="79" spans="1:93" s="8" customFormat="1">
      <c r="A79" s="27">
        <v>66</v>
      </c>
      <c r="B79" s="15">
        <f t="shared" si="7"/>
        <v>66</v>
      </c>
      <c r="C79" s="5" t="s">
        <v>223</v>
      </c>
      <c r="D79" s="5" t="s">
        <v>224</v>
      </c>
      <c r="E79" s="5" t="str">
        <f t="shared" si="6"/>
        <v>Serefhanoglu, 2009</v>
      </c>
      <c r="F79" s="7">
        <v>2009</v>
      </c>
      <c r="G79" s="7" t="s">
        <v>73</v>
      </c>
      <c r="H79" s="10" t="s">
        <v>68</v>
      </c>
      <c r="I79" s="10" t="s">
        <v>83</v>
      </c>
      <c r="J79" s="10" t="s">
        <v>332</v>
      </c>
      <c r="K79" s="10" t="s">
        <v>333</v>
      </c>
      <c r="L79" s="10" t="s">
        <v>486</v>
      </c>
      <c r="M79" s="10" t="s">
        <v>176</v>
      </c>
      <c r="N79" s="10" t="s">
        <v>651</v>
      </c>
      <c r="O79" s="10" t="s">
        <v>56</v>
      </c>
      <c r="P79" s="10" t="s">
        <v>56</v>
      </c>
      <c r="Q79" s="7" t="s">
        <v>30</v>
      </c>
      <c r="R79" s="15" t="s">
        <v>32</v>
      </c>
      <c r="S79" s="7" t="s">
        <v>434</v>
      </c>
      <c r="T79" s="15" t="s">
        <v>434</v>
      </c>
      <c r="U79" s="7" t="s">
        <v>770</v>
      </c>
      <c r="V79" s="88">
        <v>94</v>
      </c>
      <c r="W79" s="14">
        <v>30</v>
      </c>
      <c r="X79" s="14">
        <v>7</v>
      </c>
      <c r="Y79" s="14"/>
      <c r="Z79" s="14"/>
      <c r="AA79" s="14">
        <v>16.600000000000001</v>
      </c>
      <c r="AB79" s="14"/>
      <c r="AC79" s="14"/>
      <c r="AD79" s="14"/>
      <c r="AE79" s="14"/>
      <c r="AF79" s="14">
        <v>65.8</v>
      </c>
      <c r="AG79" s="14">
        <v>16.3</v>
      </c>
      <c r="AH79" s="14">
        <v>12</v>
      </c>
      <c r="AI79" s="14">
        <v>8</v>
      </c>
      <c r="AJ79" s="14"/>
      <c r="AK79" s="14">
        <v>1</v>
      </c>
      <c r="AL79" s="14">
        <v>8</v>
      </c>
      <c r="AM79" s="14"/>
      <c r="AN79" s="14">
        <v>7</v>
      </c>
      <c r="AO79" s="14">
        <v>1</v>
      </c>
      <c r="AP79" s="14"/>
      <c r="AQ79" s="14">
        <v>5</v>
      </c>
      <c r="AR79" s="14">
        <v>5</v>
      </c>
      <c r="AS79" s="14"/>
      <c r="AT79" s="14"/>
      <c r="AU79" s="14"/>
      <c r="AV79" s="14">
        <v>11</v>
      </c>
      <c r="AW79" s="14">
        <v>7</v>
      </c>
      <c r="AX79" s="14">
        <v>3</v>
      </c>
      <c r="AY79" s="14">
        <v>3</v>
      </c>
      <c r="AZ79" s="14">
        <v>6</v>
      </c>
      <c r="BA79" s="14">
        <v>16.2</v>
      </c>
      <c r="BB79" s="14"/>
      <c r="BC79" s="20">
        <v>64</v>
      </c>
      <c r="BD79" s="20">
        <v>12</v>
      </c>
      <c r="BE79" s="20"/>
      <c r="BF79" s="20"/>
      <c r="BG79" s="20">
        <v>8</v>
      </c>
      <c r="BH79" s="20"/>
      <c r="BI79" s="20"/>
      <c r="BJ79" s="20"/>
      <c r="BK79" s="20"/>
      <c r="BL79" s="20">
        <v>62</v>
      </c>
      <c r="BM79" s="20">
        <v>16.399999999999999</v>
      </c>
      <c r="BN79" s="20">
        <v>29</v>
      </c>
      <c r="BO79" s="20">
        <v>16</v>
      </c>
      <c r="BP79" s="20"/>
      <c r="BQ79" s="20">
        <v>3</v>
      </c>
      <c r="BR79" s="20">
        <v>16</v>
      </c>
      <c r="BS79" s="20"/>
      <c r="BT79" s="20">
        <v>13</v>
      </c>
      <c r="BU79" s="20">
        <v>4</v>
      </c>
      <c r="BV79" s="20"/>
      <c r="BW79" s="20">
        <v>8</v>
      </c>
      <c r="BX79" s="20">
        <v>14</v>
      </c>
      <c r="BY79" s="20"/>
      <c r="BZ79" s="20"/>
      <c r="CA79" s="20"/>
      <c r="CB79" s="20">
        <v>26</v>
      </c>
      <c r="CC79" s="20">
        <v>11</v>
      </c>
      <c r="CD79" s="20">
        <v>4</v>
      </c>
      <c r="CE79" s="20">
        <v>8</v>
      </c>
      <c r="CF79" s="20">
        <v>15</v>
      </c>
      <c r="CG79" s="20">
        <v>15.6</v>
      </c>
      <c r="CH79" s="20"/>
      <c r="CI79" s="26"/>
      <c r="CJ79" s="26"/>
      <c r="CK79" s="26"/>
      <c r="CL79" s="26"/>
      <c r="CM79" s="26"/>
      <c r="CN79" s="26"/>
      <c r="CO79" s="9"/>
    </row>
    <row r="80" spans="1:93" s="8" customFormat="1">
      <c r="A80" s="27">
        <v>67</v>
      </c>
      <c r="B80" s="15">
        <f t="shared" si="7"/>
        <v>67</v>
      </c>
      <c r="C80" s="5" t="s">
        <v>225</v>
      </c>
      <c r="D80" s="5" t="s">
        <v>226</v>
      </c>
      <c r="E80" s="5" t="str">
        <f t="shared" si="6"/>
        <v>Shi, 2009</v>
      </c>
      <c r="F80" s="7">
        <v>2009</v>
      </c>
      <c r="G80" s="7" t="s">
        <v>95</v>
      </c>
      <c r="H80" s="10" t="s">
        <v>68</v>
      </c>
      <c r="I80" s="10" t="s">
        <v>96</v>
      </c>
      <c r="J80" s="10" t="s">
        <v>335</v>
      </c>
      <c r="K80" s="10" t="s">
        <v>334</v>
      </c>
      <c r="L80" s="10" t="s">
        <v>487</v>
      </c>
      <c r="M80" s="10" t="s">
        <v>408</v>
      </c>
      <c r="N80" s="10" t="s">
        <v>488</v>
      </c>
      <c r="O80" s="10" t="s">
        <v>56</v>
      </c>
      <c r="P80" s="10" t="s">
        <v>56</v>
      </c>
      <c r="Q80" s="7" t="s">
        <v>30</v>
      </c>
      <c r="R80" s="15" t="s">
        <v>32</v>
      </c>
      <c r="S80" s="7" t="s">
        <v>434</v>
      </c>
      <c r="T80" s="15" t="s">
        <v>434</v>
      </c>
      <c r="U80" s="7" t="s">
        <v>770</v>
      </c>
      <c r="V80" s="88">
        <v>152</v>
      </c>
      <c r="W80" s="14">
        <v>70</v>
      </c>
      <c r="X80" s="13">
        <f>+W80*0.386</f>
        <v>27.02</v>
      </c>
      <c r="Y80" s="14"/>
      <c r="Z80" s="14"/>
      <c r="AA80" s="14"/>
      <c r="AB80" s="14"/>
      <c r="AC80" s="14">
        <v>13.6</v>
      </c>
      <c r="AD80" s="14"/>
      <c r="AE80" s="14"/>
      <c r="AF80" s="14">
        <v>42.6</v>
      </c>
      <c r="AG80" s="14">
        <v>9.5</v>
      </c>
      <c r="AH80" s="14">
        <v>7</v>
      </c>
      <c r="AI80" s="14"/>
      <c r="AJ80" s="14"/>
      <c r="AK80" s="14"/>
      <c r="AL80" s="14"/>
      <c r="AM80" s="14"/>
      <c r="AN80" s="14"/>
      <c r="AO80" s="14"/>
      <c r="AP80" s="14"/>
      <c r="AQ80" s="14"/>
      <c r="AR80" s="14"/>
      <c r="AS80" s="14"/>
      <c r="AT80" s="14"/>
      <c r="AU80" s="14"/>
      <c r="AV80" s="14"/>
      <c r="AW80" s="14"/>
      <c r="AX80" s="14"/>
      <c r="AY80" s="14"/>
      <c r="AZ80" s="14"/>
      <c r="BA80" s="14"/>
      <c r="BB80" s="14"/>
      <c r="BC80" s="20">
        <v>82</v>
      </c>
      <c r="BD80" s="21">
        <f>+BC80*0.146</f>
        <v>11.972</v>
      </c>
      <c r="BE80" s="20"/>
      <c r="BF80" s="20"/>
      <c r="BG80" s="20"/>
      <c r="BH80" s="20"/>
      <c r="BI80" s="20">
        <v>10.4</v>
      </c>
      <c r="BJ80" s="20"/>
      <c r="BK80" s="20"/>
      <c r="BL80" s="20">
        <v>43.1</v>
      </c>
      <c r="BM80" s="20">
        <v>10.6</v>
      </c>
      <c r="BN80" s="20">
        <v>9</v>
      </c>
      <c r="BO80" s="20"/>
      <c r="BP80" s="20"/>
      <c r="BQ80" s="20"/>
      <c r="BR80" s="20"/>
      <c r="BS80" s="20"/>
      <c r="BT80" s="20"/>
      <c r="BU80" s="20"/>
      <c r="BV80" s="20"/>
      <c r="BW80" s="20"/>
      <c r="BX80" s="20"/>
      <c r="BY80" s="20"/>
      <c r="BZ80" s="20"/>
      <c r="CA80" s="20"/>
      <c r="CB80" s="20"/>
      <c r="CC80" s="20"/>
      <c r="CD80" s="20"/>
      <c r="CE80" s="20"/>
      <c r="CF80" s="20"/>
      <c r="CG80" s="20"/>
      <c r="CH80" s="20"/>
      <c r="CI80" s="26"/>
      <c r="CJ80" s="26"/>
      <c r="CK80" s="26"/>
      <c r="CL80" s="26"/>
      <c r="CM80" s="26"/>
      <c r="CN80" s="26"/>
      <c r="CO80" s="9"/>
    </row>
    <row r="81" spans="1:93" s="8" customFormat="1">
      <c r="A81" s="27">
        <v>68</v>
      </c>
      <c r="B81" s="130" t="s">
        <v>1008</v>
      </c>
      <c r="C81" s="5" t="s">
        <v>961</v>
      </c>
      <c r="D81" s="5" t="s">
        <v>1055</v>
      </c>
      <c r="E81" s="5" t="str">
        <f t="shared" ref="E81:E82" si="8">+CONCATENATE(LEFT(D81,FIND(" ",D81,1)),F81)</f>
        <v>Shi, 2022</v>
      </c>
      <c r="F81" s="7">
        <v>2022</v>
      </c>
      <c r="G81" s="7" t="s">
        <v>95</v>
      </c>
      <c r="H81" s="10" t="s">
        <v>68</v>
      </c>
      <c r="I81" s="10" t="s">
        <v>96</v>
      </c>
      <c r="J81" s="10" t="s">
        <v>1034</v>
      </c>
      <c r="K81" s="10" t="s">
        <v>1033</v>
      </c>
      <c r="L81" s="10" t="s">
        <v>408</v>
      </c>
      <c r="M81" s="10" t="s">
        <v>408</v>
      </c>
      <c r="N81" s="10"/>
      <c r="O81" s="10" t="s">
        <v>45</v>
      </c>
      <c r="P81" s="10" t="s">
        <v>41</v>
      </c>
      <c r="Q81" s="7" t="s">
        <v>30</v>
      </c>
      <c r="R81" s="15" t="s">
        <v>32</v>
      </c>
      <c r="S81" s="7" t="s">
        <v>429</v>
      </c>
      <c r="T81" s="15" t="s">
        <v>786</v>
      </c>
      <c r="U81" s="7" t="s">
        <v>787</v>
      </c>
      <c r="V81" s="88">
        <f>910+108</f>
        <v>1018</v>
      </c>
      <c r="W81" s="14">
        <f>29+36</f>
        <v>65</v>
      </c>
      <c r="X81" s="13">
        <v>29</v>
      </c>
      <c r="Y81" s="14"/>
      <c r="Z81" s="14"/>
      <c r="AA81" s="14"/>
      <c r="AB81" s="14"/>
      <c r="AC81" s="14"/>
      <c r="AD81" s="14"/>
      <c r="AE81" s="14"/>
      <c r="AF81" s="14"/>
      <c r="AG81" s="14"/>
      <c r="AH81" s="14">
        <f>65-47</f>
        <v>18</v>
      </c>
      <c r="AI81" s="14"/>
      <c r="AJ81" s="14">
        <v>32</v>
      </c>
      <c r="AK81" s="14"/>
      <c r="AL81" s="14">
        <v>13</v>
      </c>
      <c r="AM81" s="14"/>
      <c r="AN81" s="14"/>
      <c r="AO81" s="14">
        <v>2</v>
      </c>
      <c r="AP81" s="14"/>
      <c r="AQ81" s="14"/>
      <c r="AR81" s="14"/>
      <c r="AS81" s="14">
        <v>11</v>
      </c>
      <c r="AT81" s="14"/>
      <c r="AU81" s="14"/>
      <c r="AV81" s="14"/>
      <c r="AW81" s="14"/>
      <c r="AX81" s="14"/>
      <c r="AY81" s="14"/>
      <c r="AZ81" s="14"/>
      <c r="BA81" s="14"/>
      <c r="BB81" s="14"/>
      <c r="BC81" s="20">
        <f>1018-65</f>
        <v>953</v>
      </c>
      <c r="BD81" s="21">
        <f>108-29</f>
        <v>79</v>
      </c>
      <c r="BE81" s="20"/>
      <c r="BF81" s="20"/>
      <c r="BG81" s="20"/>
      <c r="BH81" s="20"/>
      <c r="BI81" s="20"/>
      <c r="BJ81" s="20"/>
      <c r="BK81" s="20"/>
      <c r="BL81" s="20"/>
      <c r="BM81" s="20"/>
      <c r="BN81" s="20">
        <f>953-472</f>
        <v>481</v>
      </c>
      <c r="BO81" s="20"/>
      <c r="BP81" s="20">
        <v>481</v>
      </c>
      <c r="BQ81" s="20"/>
      <c r="BR81" s="20">
        <v>203</v>
      </c>
      <c r="BS81" s="20"/>
      <c r="BT81" s="20"/>
      <c r="BU81" s="20">
        <v>117</v>
      </c>
      <c r="BV81" s="20"/>
      <c r="BW81" s="20"/>
      <c r="BX81" s="20"/>
      <c r="BY81" s="20">
        <v>240</v>
      </c>
      <c r="BZ81" s="20"/>
      <c r="CA81" s="20"/>
      <c r="CB81" s="20"/>
      <c r="CC81" s="20"/>
      <c r="CD81" s="20"/>
      <c r="CE81" s="20"/>
      <c r="CF81" s="20"/>
      <c r="CG81" s="20"/>
      <c r="CH81" s="20"/>
      <c r="CI81" s="26"/>
      <c r="CJ81" s="26"/>
      <c r="CK81" s="26"/>
      <c r="CL81" s="26"/>
      <c r="CM81" s="26"/>
      <c r="CN81" s="26"/>
      <c r="CO81" s="9"/>
    </row>
    <row r="82" spans="1:93" s="8" customFormat="1">
      <c r="A82" s="27">
        <v>68</v>
      </c>
      <c r="B82" s="130" t="s">
        <v>1009</v>
      </c>
      <c r="C82" s="5" t="s">
        <v>961</v>
      </c>
      <c r="D82" s="5" t="s">
        <v>1055</v>
      </c>
      <c r="E82" s="5" t="str">
        <f t="shared" si="8"/>
        <v>Shi, 2022</v>
      </c>
      <c r="F82" s="7">
        <v>2022</v>
      </c>
      <c r="G82" s="7" t="s">
        <v>95</v>
      </c>
      <c r="H82" s="10" t="s">
        <v>68</v>
      </c>
      <c r="I82" s="10" t="s">
        <v>96</v>
      </c>
      <c r="J82" s="10" t="s">
        <v>1034</v>
      </c>
      <c r="K82" s="10" t="s">
        <v>1033</v>
      </c>
      <c r="L82" s="10" t="s">
        <v>408</v>
      </c>
      <c r="M82" s="10" t="s">
        <v>408</v>
      </c>
      <c r="N82" s="10"/>
      <c r="O82" s="10"/>
      <c r="P82" s="10"/>
      <c r="Q82" s="7" t="s">
        <v>30</v>
      </c>
      <c r="R82" s="15" t="s">
        <v>32</v>
      </c>
      <c r="S82" s="7" t="s">
        <v>443</v>
      </c>
      <c r="T82" s="15" t="s">
        <v>765</v>
      </c>
      <c r="U82" s="7" t="s">
        <v>766</v>
      </c>
      <c r="V82" s="88">
        <f>910+108</f>
        <v>1018</v>
      </c>
      <c r="W82" s="14">
        <f>314+33</f>
        <v>347</v>
      </c>
      <c r="X82" s="13">
        <v>33</v>
      </c>
      <c r="Y82" s="14"/>
      <c r="Z82" s="14"/>
      <c r="AA82" s="14"/>
      <c r="AB82" s="14"/>
      <c r="AC82" s="14"/>
      <c r="AD82" s="14"/>
      <c r="AE82" s="14"/>
      <c r="AF82" s="14"/>
      <c r="AG82" s="14"/>
      <c r="AH82" s="14">
        <f>347-155</f>
        <v>192</v>
      </c>
      <c r="AI82" s="14"/>
      <c r="AJ82" s="14">
        <v>198</v>
      </c>
      <c r="AK82" s="14"/>
      <c r="AL82" s="14">
        <v>82</v>
      </c>
      <c r="AM82" s="14"/>
      <c r="AN82" s="14"/>
      <c r="AO82" s="14">
        <v>52</v>
      </c>
      <c r="AP82" s="14"/>
      <c r="AQ82" s="14"/>
      <c r="AR82" s="14"/>
      <c r="AS82" s="14">
        <v>89</v>
      </c>
      <c r="AT82" s="14"/>
      <c r="AU82" s="14"/>
      <c r="AV82" s="14"/>
      <c r="AW82" s="14"/>
      <c r="AX82" s="14"/>
      <c r="AY82" s="14"/>
      <c r="AZ82" s="14"/>
      <c r="BA82" s="14"/>
      <c r="BB82" s="14"/>
      <c r="BC82" s="20">
        <f>1018-314-33</f>
        <v>671</v>
      </c>
      <c r="BD82" s="21">
        <f>108-33</f>
        <v>75</v>
      </c>
      <c r="BE82" s="20"/>
      <c r="BF82" s="20"/>
      <c r="BG82" s="20"/>
      <c r="BH82" s="20"/>
      <c r="BI82" s="20"/>
      <c r="BJ82" s="20"/>
      <c r="BK82" s="20"/>
      <c r="BL82" s="20"/>
      <c r="BM82" s="20"/>
      <c r="BN82" s="20">
        <f>671-364</f>
        <v>307</v>
      </c>
      <c r="BO82" s="20"/>
      <c r="BP82" s="20">
        <v>315</v>
      </c>
      <c r="BQ82" s="20"/>
      <c r="BR82" s="20">
        <v>134</v>
      </c>
      <c r="BS82" s="20"/>
      <c r="BT82" s="20"/>
      <c r="BU82" s="20">
        <v>67</v>
      </c>
      <c r="BV82" s="20"/>
      <c r="BW82" s="20"/>
      <c r="BX82" s="20"/>
      <c r="BY82" s="20">
        <v>162</v>
      </c>
      <c r="BZ82" s="20"/>
      <c r="CA82" s="20"/>
      <c r="CB82" s="20"/>
      <c r="CC82" s="20"/>
      <c r="CD82" s="20"/>
      <c r="CE82" s="20"/>
      <c r="CF82" s="20"/>
      <c r="CG82" s="20"/>
      <c r="CH82" s="20"/>
      <c r="CI82" s="26"/>
      <c r="CJ82" s="26"/>
      <c r="CK82" s="26"/>
      <c r="CL82" s="26"/>
      <c r="CM82" s="26"/>
      <c r="CN82" s="26"/>
      <c r="CO82" s="9"/>
    </row>
    <row r="83" spans="1:93" s="8" customFormat="1">
      <c r="A83" s="27">
        <v>68</v>
      </c>
      <c r="B83" s="130" t="s">
        <v>1010</v>
      </c>
      <c r="C83" s="5" t="s">
        <v>961</v>
      </c>
      <c r="D83" s="5" t="s">
        <v>1055</v>
      </c>
      <c r="E83" s="5" t="str">
        <f t="shared" si="6"/>
        <v>Shi, 2022</v>
      </c>
      <c r="F83" s="7">
        <v>2022</v>
      </c>
      <c r="G83" s="7" t="s">
        <v>95</v>
      </c>
      <c r="H83" s="10" t="s">
        <v>68</v>
      </c>
      <c r="I83" s="10" t="s">
        <v>96</v>
      </c>
      <c r="J83" s="10" t="s">
        <v>1034</v>
      </c>
      <c r="K83" s="10" t="s">
        <v>1033</v>
      </c>
      <c r="L83" s="10" t="s">
        <v>408</v>
      </c>
      <c r="M83" s="10" t="s">
        <v>408</v>
      </c>
      <c r="N83" s="10"/>
      <c r="O83" s="10"/>
      <c r="P83" s="10"/>
      <c r="Q83" s="7" t="s">
        <v>30</v>
      </c>
      <c r="R83" s="15" t="s">
        <v>32</v>
      </c>
      <c r="S83" s="7" t="s">
        <v>434</v>
      </c>
      <c r="T83" s="15" t="s">
        <v>434</v>
      </c>
      <c r="U83" s="7" t="s">
        <v>770</v>
      </c>
      <c r="V83" s="88">
        <f>910+108</f>
        <v>1018</v>
      </c>
      <c r="W83" s="14">
        <f>56+356</f>
        <v>412</v>
      </c>
      <c r="X83" s="13">
        <v>56</v>
      </c>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20">
        <f>1018-412</f>
        <v>606</v>
      </c>
      <c r="BD83" s="21">
        <f>108-56</f>
        <v>52</v>
      </c>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6"/>
      <c r="CJ83" s="26"/>
      <c r="CK83" s="26"/>
      <c r="CL83" s="26"/>
      <c r="CM83" s="26"/>
      <c r="CN83" s="26"/>
      <c r="CO83" s="9"/>
    </row>
    <row r="84" spans="1:93" s="8" customFormat="1">
      <c r="A84" s="27">
        <v>69</v>
      </c>
      <c r="B84" s="130" t="s">
        <v>1011</v>
      </c>
      <c r="C84" s="5" t="s">
        <v>227</v>
      </c>
      <c r="D84" s="5" t="s">
        <v>228</v>
      </c>
      <c r="E84" s="5" t="str">
        <f t="shared" si="6"/>
        <v>Sirijatuphat, 2018</v>
      </c>
      <c r="F84" s="7">
        <v>2018</v>
      </c>
      <c r="G84" s="7" t="s">
        <v>54</v>
      </c>
      <c r="H84" s="10" t="s">
        <v>68</v>
      </c>
      <c r="I84" s="10" t="s">
        <v>82</v>
      </c>
      <c r="J84" s="10" t="s">
        <v>336</v>
      </c>
      <c r="K84" s="10" t="s">
        <v>489</v>
      </c>
      <c r="L84" s="10" t="s">
        <v>169</v>
      </c>
      <c r="M84" s="10" t="s">
        <v>176</v>
      </c>
      <c r="N84" s="10"/>
      <c r="O84" s="10" t="s">
        <v>491</v>
      </c>
      <c r="P84" s="10" t="s">
        <v>41</v>
      </c>
      <c r="Q84" s="7" t="s">
        <v>30</v>
      </c>
      <c r="R84" s="15" t="s">
        <v>32</v>
      </c>
      <c r="S84" s="7" t="s">
        <v>429</v>
      </c>
      <c r="T84" s="15" t="s">
        <v>798</v>
      </c>
      <c r="U84" s="7" t="s">
        <v>799</v>
      </c>
      <c r="V84" s="88">
        <v>206</v>
      </c>
      <c r="W84" s="14">
        <v>106</v>
      </c>
      <c r="X84" s="14">
        <v>23</v>
      </c>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20">
        <v>100</v>
      </c>
      <c r="BD84" s="20">
        <v>18</v>
      </c>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6"/>
      <c r="CJ84" s="26"/>
      <c r="CK84" s="26"/>
      <c r="CL84" s="26"/>
      <c r="CM84" s="26"/>
      <c r="CN84" s="26"/>
      <c r="CO84" s="9"/>
    </row>
    <row r="85" spans="1:93" s="8" customFormat="1">
      <c r="A85" s="27">
        <v>69</v>
      </c>
      <c r="B85" s="130" t="s">
        <v>1012</v>
      </c>
      <c r="C85" s="5" t="s">
        <v>227</v>
      </c>
      <c r="D85" s="5" t="s">
        <v>228</v>
      </c>
      <c r="E85" s="5" t="str">
        <f t="shared" si="6"/>
        <v>Sirijatuphat, 2018</v>
      </c>
      <c r="F85" s="7">
        <v>2018</v>
      </c>
      <c r="G85" s="7" t="s">
        <v>54</v>
      </c>
      <c r="H85" s="10" t="s">
        <v>68</v>
      </c>
      <c r="I85" s="10" t="s">
        <v>82</v>
      </c>
      <c r="J85" s="10" t="s">
        <v>336</v>
      </c>
      <c r="K85" s="10" t="s">
        <v>489</v>
      </c>
      <c r="L85" s="10" t="s">
        <v>97</v>
      </c>
      <c r="M85" s="10" t="s">
        <v>176</v>
      </c>
      <c r="N85" s="10"/>
      <c r="O85" s="10" t="s">
        <v>491</v>
      </c>
      <c r="P85" s="10" t="s">
        <v>41</v>
      </c>
      <c r="Q85" s="7" t="s">
        <v>30</v>
      </c>
      <c r="R85" s="15" t="s">
        <v>32</v>
      </c>
      <c r="S85" s="7" t="s">
        <v>429</v>
      </c>
      <c r="T85" s="15" t="s">
        <v>779</v>
      </c>
      <c r="U85" s="7" t="s">
        <v>780</v>
      </c>
      <c r="V85" s="88">
        <v>110</v>
      </c>
      <c r="W85" s="14">
        <v>45</v>
      </c>
      <c r="X85" s="14">
        <v>23</v>
      </c>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20">
        <v>65</v>
      </c>
      <c r="BD85" s="20">
        <v>22</v>
      </c>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6"/>
      <c r="CJ85" s="26"/>
      <c r="CK85" s="26"/>
      <c r="CL85" s="26"/>
      <c r="CM85" s="26"/>
      <c r="CN85" s="26"/>
      <c r="CO85" s="9"/>
    </row>
    <row r="86" spans="1:93" s="8" customFormat="1">
      <c r="A86" s="27">
        <v>69</v>
      </c>
      <c r="B86" s="130" t="s">
        <v>1013</v>
      </c>
      <c r="C86" s="5" t="s">
        <v>227</v>
      </c>
      <c r="D86" s="5" t="s">
        <v>228</v>
      </c>
      <c r="E86" s="5" t="str">
        <f t="shared" si="6"/>
        <v>Sirijatuphat, 2018</v>
      </c>
      <c r="F86" s="7">
        <v>2018</v>
      </c>
      <c r="G86" s="7" t="s">
        <v>54</v>
      </c>
      <c r="H86" s="10" t="s">
        <v>68</v>
      </c>
      <c r="I86" s="10" t="s">
        <v>82</v>
      </c>
      <c r="J86" s="10" t="s">
        <v>336</v>
      </c>
      <c r="K86" s="10" t="s">
        <v>489</v>
      </c>
      <c r="L86" s="10" t="s">
        <v>107</v>
      </c>
      <c r="M86" s="10" t="s">
        <v>642</v>
      </c>
      <c r="N86" s="10"/>
      <c r="O86" s="10" t="s">
        <v>45</v>
      </c>
      <c r="P86" s="10" t="s">
        <v>41</v>
      </c>
      <c r="Q86" s="7" t="s">
        <v>30</v>
      </c>
      <c r="R86" s="15" t="s">
        <v>32</v>
      </c>
      <c r="S86" s="7" t="s">
        <v>429</v>
      </c>
      <c r="T86" s="15" t="s">
        <v>777</v>
      </c>
      <c r="U86" s="7" t="s">
        <v>778</v>
      </c>
      <c r="V86" s="88">
        <f>21+47</f>
        <v>68</v>
      </c>
      <c r="W86" s="14">
        <v>21</v>
      </c>
      <c r="X86" s="14">
        <v>10</v>
      </c>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20">
        <v>47</v>
      </c>
      <c r="BD86" s="20">
        <v>19</v>
      </c>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6"/>
      <c r="CJ86" s="26"/>
      <c r="CK86" s="26"/>
      <c r="CL86" s="26"/>
      <c r="CM86" s="26"/>
      <c r="CN86" s="26"/>
      <c r="CO86" s="9"/>
    </row>
    <row r="87" spans="1:93" s="8" customFormat="1">
      <c r="A87" s="27">
        <v>69</v>
      </c>
      <c r="B87" s="130" t="s">
        <v>1014</v>
      </c>
      <c r="C87" s="5" t="s">
        <v>227</v>
      </c>
      <c r="D87" s="5" t="s">
        <v>228</v>
      </c>
      <c r="E87" s="5" t="str">
        <f t="shared" si="6"/>
        <v>Sirijatuphat, 2018</v>
      </c>
      <c r="F87" s="7">
        <v>2018</v>
      </c>
      <c r="G87" s="7" t="s">
        <v>54</v>
      </c>
      <c r="H87" s="10" t="s">
        <v>68</v>
      </c>
      <c r="I87" s="10" t="s">
        <v>82</v>
      </c>
      <c r="J87" s="10" t="s">
        <v>336</v>
      </c>
      <c r="K87" s="10" t="s">
        <v>489</v>
      </c>
      <c r="L87" s="6" t="s">
        <v>36</v>
      </c>
      <c r="M87" s="6" t="s">
        <v>675</v>
      </c>
      <c r="N87" s="10"/>
      <c r="O87" s="10" t="s">
        <v>45</v>
      </c>
      <c r="P87" s="10" t="s">
        <v>41</v>
      </c>
      <c r="Q87" s="7" t="s">
        <v>30</v>
      </c>
      <c r="R87" s="15" t="s">
        <v>32</v>
      </c>
      <c r="S87" s="7" t="s">
        <v>429</v>
      </c>
      <c r="T87" s="15" t="s">
        <v>781</v>
      </c>
      <c r="U87" s="7" t="s">
        <v>782</v>
      </c>
      <c r="V87" s="88">
        <f>57+24</f>
        <v>81</v>
      </c>
      <c r="W87" s="14">
        <v>57</v>
      </c>
      <c r="X87" s="14">
        <v>38</v>
      </c>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20">
        <v>24</v>
      </c>
      <c r="BD87" s="20">
        <v>3</v>
      </c>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6"/>
      <c r="CJ87" s="26"/>
      <c r="CK87" s="26"/>
      <c r="CL87" s="26"/>
      <c r="CM87" s="26"/>
      <c r="CN87" s="26"/>
      <c r="CO87" s="9"/>
    </row>
    <row r="88" spans="1:93" s="8" customFormat="1">
      <c r="A88" s="27">
        <v>69</v>
      </c>
      <c r="B88" s="130" t="s">
        <v>1015</v>
      </c>
      <c r="C88" s="5" t="s">
        <v>227</v>
      </c>
      <c r="D88" s="5" t="s">
        <v>228</v>
      </c>
      <c r="E88" s="5" t="str">
        <f t="shared" si="6"/>
        <v>Sirijatuphat, 2018</v>
      </c>
      <c r="F88" s="7">
        <v>2018</v>
      </c>
      <c r="G88" s="7" t="s">
        <v>54</v>
      </c>
      <c r="H88" s="10" t="s">
        <v>68</v>
      </c>
      <c r="I88" s="10" t="s">
        <v>82</v>
      </c>
      <c r="J88" s="10" t="s">
        <v>336</v>
      </c>
      <c r="K88" s="10" t="s">
        <v>489</v>
      </c>
      <c r="L88" s="10" t="s">
        <v>490</v>
      </c>
      <c r="M88" s="10" t="s">
        <v>176</v>
      </c>
      <c r="N88" s="10" t="s">
        <v>492</v>
      </c>
      <c r="O88" s="10" t="s">
        <v>44</v>
      </c>
      <c r="P88" s="10" t="s">
        <v>59</v>
      </c>
      <c r="Q88" s="7" t="s">
        <v>30</v>
      </c>
      <c r="R88" s="15" t="s">
        <v>52</v>
      </c>
      <c r="S88" s="7" t="s">
        <v>429</v>
      </c>
      <c r="T88" s="15" t="s">
        <v>800</v>
      </c>
      <c r="U88" s="7" t="s">
        <v>801</v>
      </c>
      <c r="V88" s="88">
        <v>4</v>
      </c>
      <c r="W88" s="14">
        <v>2</v>
      </c>
      <c r="X88" s="14">
        <v>0</v>
      </c>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20">
        <v>2</v>
      </c>
      <c r="BD88" s="20">
        <v>1</v>
      </c>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6"/>
      <c r="CJ88" s="26"/>
      <c r="CK88" s="26"/>
      <c r="CL88" s="26"/>
      <c r="CM88" s="26"/>
      <c r="CN88" s="26"/>
      <c r="CO88" s="9"/>
    </row>
    <row r="89" spans="1:93" s="8" customFormat="1">
      <c r="A89" s="27">
        <v>69</v>
      </c>
      <c r="B89" s="130" t="s">
        <v>1016</v>
      </c>
      <c r="C89" s="5" t="s">
        <v>227</v>
      </c>
      <c r="D89" s="5" t="s">
        <v>228</v>
      </c>
      <c r="E89" s="5" t="str">
        <f t="shared" si="6"/>
        <v>Sirijatuphat, 2018</v>
      </c>
      <c r="F89" s="7">
        <v>2018</v>
      </c>
      <c r="G89" s="7" t="s">
        <v>54</v>
      </c>
      <c r="H89" s="10" t="s">
        <v>68</v>
      </c>
      <c r="I89" s="10" t="s">
        <v>82</v>
      </c>
      <c r="J89" s="10" t="s">
        <v>336</v>
      </c>
      <c r="K89" s="10" t="s">
        <v>489</v>
      </c>
      <c r="L89" s="10" t="s">
        <v>62</v>
      </c>
      <c r="M89" s="10" t="s">
        <v>643</v>
      </c>
      <c r="N89" s="10" t="s">
        <v>63</v>
      </c>
      <c r="O89" s="10" t="s">
        <v>42</v>
      </c>
      <c r="P89" s="10" t="s">
        <v>41</v>
      </c>
      <c r="Q89" s="7" t="s">
        <v>51</v>
      </c>
      <c r="R89" s="15" t="s">
        <v>52</v>
      </c>
      <c r="S89" s="7" t="s">
        <v>429</v>
      </c>
      <c r="T89" s="15" t="s">
        <v>771</v>
      </c>
      <c r="U89" s="7" t="s">
        <v>772</v>
      </c>
      <c r="V89" s="88">
        <f>16+47</f>
        <v>63</v>
      </c>
      <c r="W89" s="14">
        <v>16</v>
      </c>
      <c r="X89" s="14">
        <v>9</v>
      </c>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20">
        <v>47</v>
      </c>
      <c r="BD89" s="20">
        <v>13</v>
      </c>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6"/>
      <c r="CJ89" s="26"/>
      <c r="CK89" s="26"/>
      <c r="CL89" s="26"/>
      <c r="CM89" s="26"/>
      <c r="CN89" s="26"/>
      <c r="CO89" s="9"/>
    </row>
    <row r="90" spans="1:93" s="8" customFormat="1">
      <c r="A90" s="27">
        <v>69</v>
      </c>
      <c r="B90" s="130" t="s">
        <v>1017</v>
      </c>
      <c r="C90" s="5" t="s">
        <v>227</v>
      </c>
      <c r="D90" s="5" t="s">
        <v>228</v>
      </c>
      <c r="E90" s="5" t="str">
        <f t="shared" si="6"/>
        <v>Sirijatuphat, 2018</v>
      </c>
      <c r="F90" s="7">
        <v>2018</v>
      </c>
      <c r="G90" s="7" t="s">
        <v>54</v>
      </c>
      <c r="H90" s="10" t="s">
        <v>68</v>
      </c>
      <c r="I90" s="10" t="s">
        <v>82</v>
      </c>
      <c r="J90" s="10" t="s">
        <v>336</v>
      </c>
      <c r="K90" s="10" t="s">
        <v>489</v>
      </c>
      <c r="L90" s="10" t="s">
        <v>483</v>
      </c>
      <c r="M90" s="10" t="s">
        <v>164</v>
      </c>
      <c r="N90" s="10" t="s">
        <v>50</v>
      </c>
      <c r="O90" s="10" t="s">
        <v>46</v>
      </c>
      <c r="P90" s="10" t="s">
        <v>59</v>
      </c>
      <c r="Q90" s="7" t="s">
        <v>51</v>
      </c>
      <c r="R90" s="15" t="s">
        <v>52</v>
      </c>
      <c r="S90" s="7" t="s">
        <v>429</v>
      </c>
      <c r="T90" s="15" t="s">
        <v>768</v>
      </c>
      <c r="U90" s="7" t="s">
        <v>769</v>
      </c>
      <c r="V90" s="88">
        <v>29</v>
      </c>
      <c r="W90" s="14">
        <v>9</v>
      </c>
      <c r="X90" s="14">
        <v>6</v>
      </c>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20">
        <v>20</v>
      </c>
      <c r="BD90" s="20">
        <v>12</v>
      </c>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6"/>
      <c r="CJ90" s="26"/>
      <c r="CK90" s="26"/>
      <c r="CL90" s="26"/>
      <c r="CM90" s="26"/>
      <c r="CN90" s="26"/>
      <c r="CO90" s="9"/>
    </row>
    <row r="91" spans="1:93" s="8" customFormat="1">
      <c r="A91" s="27">
        <v>70</v>
      </c>
      <c r="B91" s="15">
        <v>70</v>
      </c>
      <c r="C91" s="5" t="s">
        <v>986</v>
      </c>
      <c r="D91" s="5" t="s">
        <v>1054</v>
      </c>
      <c r="E91" s="5" t="str">
        <f t="shared" si="6"/>
        <v>Soares, 2022</v>
      </c>
      <c r="F91" s="7">
        <v>2022</v>
      </c>
      <c r="G91" s="7" t="s">
        <v>78</v>
      </c>
      <c r="H91" s="10" t="s">
        <v>68</v>
      </c>
      <c r="I91" s="10" t="s">
        <v>80</v>
      </c>
      <c r="J91" s="10" t="s">
        <v>987</v>
      </c>
      <c r="K91" s="10" t="s">
        <v>988</v>
      </c>
      <c r="L91" s="10" t="s">
        <v>97</v>
      </c>
      <c r="M91" s="10" t="s">
        <v>176</v>
      </c>
      <c r="N91" s="10"/>
      <c r="O91" s="10" t="s">
        <v>45</v>
      </c>
      <c r="P91" s="10" t="s">
        <v>41</v>
      </c>
      <c r="Q91" s="7" t="s">
        <v>30</v>
      </c>
      <c r="R91" s="15" t="s">
        <v>32</v>
      </c>
      <c r="S91" s="7" t="s">
        <v>429</v>
      </c>
      <c r="T91" s="15" t="s">
        <v>779</v>
      </c>
      <c r="U91" s="7" t="s">
        <v>780</v>
      </c>
      <c r="V91" s="88">
        <v>107</v>
      </c>
      <c r="W91" s="14">
        <v>28</v>
      </c>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20">
        <f>107-28</f>
        <v>79</v>
      </c>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6"/>
      <c r="CJ91" s="26"/>
      <c r="CK91" s="26"/>
      <c r="CL91" s="26">
        <v>3.82</v>
      </c>
      <c r="CM91" s="26">
        <v>9.64</v>
      </c>
      <c r="CN91" s="26">
        <v>1.52</v>
      </c>
      <c r="CO91" s="9"/>
    </row>
    <row r="92" spans="1:93" s="8" customFormat="1">
      <c r="A92" s="27">
        <v>71</v>
      </c>
      <c r="B92" s="15">
        <v>71</v>
      </c>
      <c r="C92" s="5" t="s">
        <v>229</v>
      </c>
      <c r="D92" s="5" t="s">
        <v>230</v>
      </c>
      <c r="E92" s="5" t="str">
        <f t="shared" si="6"/>
        <v>Steinhaus, 2018</v>
      </c>
      <c r="F92" s="7">
        <v>2018</v>
      </c>
      <c r="G92" s="7" t="s">
        <v>337</v>
      </c>
      <c r="H92" s="10" t="s">
        <v>68</v>
      </c>
      <c r="I92" s="10" t="s">
        <v>310</v>
      </c>
      <c r="J92" s="10" t="s">
        <v>336</v>
      </c>
      <c r="K92" s="10" t="s">
        <v>493</v>
      </c>
      <c r="L92" s="10" t="s">
        <v>62</v>
      </c>
      <c r="M92" s="10" t="s">
        <v>643</v>
      </c>
      <c r="N92" s="10" t="s">
        <v>63</v>
      </c>
      <c r="O92" s="10" t="s">
        <v>42</v>
      </c>
      <c r="P92" s="10" t="s">
        <v>41</v>
      </c>
      <c r="Q92" s="7" t="s">
        <v>51</v>
      </c>
      <c r="R92" s="15" t="s">
        <v>52</v>
      </c>
      <c r="S92" s="7" t="s">
        <v>429</v>
      </c>
      <c r="T92" s="15" t="s">
        <v>771</v>
      </c>
      <c r="U92" s="7" t="s">
        <v>772</v>
      </c>
      <c r="V92" s="88">
        <v>98</v>
      </c>
      <c r="W92" s="14">
        <v>23</v>
      </c>
      <c r="X92" s="14"/>
      <c r="Y92" s="14"/>
      <c r="Z92" s="14"/>
      <c r="AA92" s="14"/>
      <c r="AB92" s="14"/>
      <c r="AC92" s="14"/>
      <c r="AD92" s="14"/>
      <c r="AE92" s="14"/>
      <c r="AF92" s="14"/>
      <c r="AG92" s="14"/>
      <c r="AH92" s="14"/>
      <c r="AI92" s="14"/>
      <c r="AJ92" s="14"/>
      <c r="AK92" s="14">
        <v>4</v>
      </c>
      <c r="AL92" s="14"/>
      <c r="AM92" s="14"/>
      <c r="AN92" s="14"/>
      <c r="AO92" s="14"/>
      <c r="AP92" s="14"/>
      <c r="AQ92" s="14"/>
      <c r="AR92" s="14"/>
      <c r="AS92" s="14"/>
      <c r="AT92" s="14"/>
      <c r="AU92" s="14"/>
      <c r="AV92" s="14"/>
      <c r="AW92" s="14"/>
      <c r="AX92" s="14"/>
      <c r="AY92" s="14"/>
      <c r="AZ92" s="14"/>
      <c r="BA92" s="14"/>
      <c r="BB92" s="14"/>
      <c r="BC92" s="20">
        <f>98-23</f>
        <v>75</v>
      </c>
      <c r="BD92" s="20"/>
      <c r="BE92" s="20"/>
      <c r="BF92" s="20"/>
      <c r="BG92" s="20"/>
      <c r="BH92" s="20"/>
      <c r="BI92" s="20"/>
      <c r="BJ92" s="20"/>
      <c r="BK92" s="20"/>
      <c r="BL92" s="20"/>
      <c r="BM92" s="20"/>
      <c r="BN92" s="20"/>
      <c r="BO92" s="20"/>
      <c r="BP92" s="20"/>
      <c r="BQ92" s="20">
        <v>27</v>
      </c>
      <c r="BR92" s="20"/>
      <c r="BS92" s="20"/>
      <c r="BT92" s="20"/>
      <c r="BU92" s="20"/>
      <c r="BV92" s="20"/>
      <c r="BW92" s="20"/>
      <c r="BX92" s="20"/>
      <c r="BY92" s="20"/>
      <c r="BZ92" s="20"/>
      <c r="CA92" s="20"/>
      <c r="CB92" s="20"/>
      <c r="CC92" s="20"/>
      <c r="CD92" s="20"/>
      <c r="CE92" s="20"/>
      <c r="CF92" s="20"/>
      <c r="CG92" s="20"/>
      <c r="CH92" s="20"/>
      <c r="CI92" s="26">
        <v>2.2999999999999998</v>
      </c>
      <c r="CJ92" s="26">
        <v>6.1</v>
      </c>
      <c r="CK92" s="26">
        <v>0.9</v>
      </c>
      <c r="CL92" s="26">
        <v>3.6</v>
      </c>
      <c r="CM92" s="26">
        <v>15.1</v>
      </c>
      <c r="CN92" s="26">
        <v>1</v>
      </c>
      <c r="CO92" s="9"/>
    </row>
    <row r="93" spans="1:93" s="8" customFormat="1">
      <c r="A93" s="27">
        <v>72</v>
      </c>
      <c r="B93" s="15">
        <v>72</v>
      </c>
      <c r="C93" s="5" t="s">
        <v>231</v>
      </c>
      <c r="D93" s="5" t="s">
        <v>232</v>
      </c>
      <c r="E93" s="5" t="str">
        <f t="shared" si="6"/>
        <v>Stewardson, 2019</v>
      </c>
      <c r="F93" s="7">
        <v>2019</v>
      </c>
      <c r="G93" s="10" t="s">
        <v>495</v>
      </c>
      <c r="H93" s="10" t="s">
        <v>408</v>
      </c>
      <c r="I93" s="10" t="s">
        <v>408</v>
      </c>
      <c r="J93" s="10" t="s">
        <v>496</v>
      </c>
      <c r="K93" s="10" t="s">
        <v>340</v>
      </c>
      <c r="L93" s="10" t="s">
        <v>497</v>
      </c>
      <c r="M93" s="10" t="s">
        <v>176</v>
      </c>
      <c r="N93" s="10" t="s">
        <v>498</v>
      </c>
      <c r="O93" s="10" t="s">
        <v>45</v>
      </c>
      <c r="P93" s="10" t="s">
        <v>41</v>
      </c>
      <c r="Q93" s="7" t="s">
        <v>30</v>
      </c>
      <c r="R93" s="15" t="s">
        <v>32</v>
      </c>
      <c r="S93" s="7" t="s">
        <v>429</v>
      </c>
      <c r="T93" s="15" t="s">
        <v>773</v>
      </c>
      <c r="U93" s="7" t="s">
        <v>774</v>
      </c>
      <c r="V93" s="88">
        <f>+W93+174</f>
        <v>297</v>
      </c>
      <c r="W93" s="14">
        <v>123</v>
      </c>
      <c r="X93" s="14">
        <v>43</v>
      </c>
      <c r="Y93" s="14">
        <v>3.7</v>
      </c>
      <c r="Z93" s="14"/>
      <c r="AA93" s="14"/>
      <c r="AB93" s="14">
        <v>54</v>
      </c>
      <c r="AC93" s="14"/>
      <c r="AD93" s="14"/>
      <c r="AE93" s="14"/>
      <c r="AF93" s="14">
        <v>46</v>
      </c>
      <c r="AG93" s="14"/>
      <c r="AH93" s="14">
        <v>41</v>
      </c>
      <c r="AI93" s="14">
        <v>27</v>
      </c>
      <c r="AJ93" s="14">
        <v>77</v>
      </c>
      <c r="AK93" s="14">
        <v>11</v>
      </c>
      <c r="AL93" s="14">
        <v>24</v>
      </c>
      <c r="AM93" s="14"/>
      <c r="AN93" s="14">
        <v>5</v>
      </c>
      <c r="AO93" s="14">
        <v>6</v>
      </c>
      <c r="AP93" s="14">
        <v>10</v>
      </c>
      <c r="AQ93" s="14">
        <v>13</v>
      </c>
      <c r="AR93" s="14">
        <v>3</v>
      </c>
      <c r="AS93" s="14"/>
      <c r="AT93" s="14"/>
      <c r="AU93" s="14">
        <v>2.5</v>
      </c>
      <c r="AV93" s="14"/>
      <c r="AW93" s="14"/>
      <c r="AX93" s="14"/>
      <c r="AY93" s="14"/>
      <c r="AZ93" s="14"/>
      <c r="BA93" s="14"/>
      <c r="BB93" s="14">
        <v>2</v>
      </c>
      <c r="BC93" s="20">
        <v>174</v>
      </c>
      <c r="BD93" s="20">
        <v>35</v>
      </c>
      <c r="BE93" s="20"/>
      <c r="BF93" s="20"/>
      <c r="BG93" s="20"/>
      <c r="BH93" s="20">
        <v>51</v>
      </c>
      <c r="BI93" s="20"/>
      <c r="BJ93" s="20"/>
      <c r="BK93" s="20"/>
      <c r="BL93" s="20">
        <v>46</v>
      </c>
      <c r="BM93" s="20"/>
      <c r="BN93" s="20">
        <v>74</v>
      </c>
      <c r="BO93" s="20">
        <v>26</v>
      </c>
      <c r="BP93" s="20">
        <v>96</v>
      </c>
      <c r="BQ93" s="20">
        <v>60</v>
      </c>
      <c r="BR93" s="20">
        <v>31</v>
      </c>
      <c r="BS93" s="20"/>
      <c r="BT93" s="20">
        <v>6</v>
      </c>
      <c r="BU93" s="20">
        <v>7</v>
      </c>
      <c r="BV93" s="20">
        <v>14</v>
      </c>
      <c r="BW93" s="20">
        <v>18</v>
      </c>
      <c r="BX93" s="20">
        <v>11</v>
      </c>
      <c r="BY93" s="20"/>
      <c r="BZ93" s="20"/>
      <c r="CA93" s="20">
        <v>2</v>
      </c>
      <c r="CB93" s="20"/>
      <c r="CC93" s="20"/>
      <c r="CD93" s="20"/>
      <c r="CE93" s="20"/>
      <c r="CF93" s="20"/>
      <c r="CG93" s="20"/>
      <c r="CH93" s="20">
        <v>2</v>
      </c>
      <c r="CI93" s="26"/>
      <c r="CJ93" s="26"/>
      <c r="CK93" s="26"/>
      <c r="CL93" s="26">
        <v>1.68</v>
      </c>
      <c r="CM93" s="26">
        <v>2.64</v>
      </c>
      <c r="CN93" s="26">
        <v>1.07</v>
      </c>
      <c r="CO93" s="9" t="s">
        <v>499</v>
      </c>
    </row>
    <row r="94" spans="1:93" s="8" customFormat="1">
      <c r="A94" s="27">
        <v>73</v>
      </c>
      <c r="B94" s="130" t="s">
        <v>1018</v>
      </c>
      <c r="C94" s="5" t="s">
        <v>233</v>
      </c>
      <c r="D94" s="5" t="s">
        <v>234</v>
      </c>
      <c r="E94" s="5" t="str">
        <f t="shared" si="6"/>
        <v>Stoma, 2016</v>
      </c>
      <c r="F94" s="7">
        <v>2016</v>
      </c>
      <c r="G94" s="7" t="s">
        <v>339</v>
      </c>
      <c r="H94" s="10" t="s">
        <v>68</v>
      </c>
      <c r="I94" s="10" t="s">
        <v>83</v>
      </c>
      <c r="J94" s="10" t="s">
        <v>338</v>
      </c>
      <c r="K94" s="10" t="s">
        <v>500</v>
      </c>
      <c r="L94" s="10" t="s">
        <v>501</v>
      </c>
      <c r="M94" s="10" t="s">
        <v>802</v>
      </c>
      <c r="N94" s="10" t="s">
        <v>657</v>
      </c>
      <c r="O94" s="10" t="s">
        <v>45</v>
      </c>
      <c r="P94" s="10" t="s">
        <v>41</v>
      </c>
      <c r="Q94" s="7" t="s">
        <v>30</v>
      </c>
      <c r="R94" s="15" t="s">
        <v>32</v>
      </c>
      <c r="S94" s="7" t="s">
        <v>429</v>
      </c>
      <c r="T94" s="15" t="s">
        <v>790</v>
      </c>
      <c r="U94" s="7" t="s">
        <v>791</v>
      </c>
      <c r="V94" s="88">
        <f>93+42</f>
        <v>135</v>
      </c>
      <c r="W94" s="14">
        <v>23</v>
      </c>
      <c r="X94" s="14">
        <v>17</v>
      </c>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20">
        <f>+V94-W94</f>
        <v>112</v>
      </c>
      <c r="BD94" s="20">
        <f>42-17</f>
        <v>25</v>
      </c>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6">
        <v>7.37</v>
      </c>
      <c r="CJ94" s="26">
        <v>21.35</v>
      </c>
      <c r="CK94" s="26">
        <v>2.54</v>
      </c>
      <c r="CL94" s="26">
        <v>5.46</v>
      </c>
      <c r="CM94" s="26">
        <v>20.7</v>
      </c>
      <c r="CN94" s="26">
        <v>1.44</v>
      </c>
      <c r="CO94" s="9"/>
    </row>
    <row r="95" spans="1:93" s="8" customFormat="1">
      <c r="A95" s="27">
        <v>73</v>
      </c>
      <c r="B95" s="130" t="s">
        <v>1019</v>
      </c>
      <c r="C95" s="5" t="s">
        <v>233</v>
      </c>
      <c r="D95" s="5" t="s">
        <v>234</v>
      </c>
      <c r="E95" s="5" t="str">
        <f t="shared" si="6"/>
        <v>Stoma, 2016</v>
      </c>
      <c r="F95" s="7">
        <v>2016</v>
      </c>
      <c r="G95" s="7" t="s">
        <v>339</v>
      </c>
      <c r="H95" s="10" t="s">
        <v>68</v>
      </c>
      <c r="I95" s="10" t="s">
        <v>83</v>
      </c>
      <c r="J95" s="10" t="s">
        <v>338</v>
      </c>
      <c r="K95" s="10" t="s">
        <v>500</v>
      </c>
      <c r="L95" s="10" t="s">
        <v>486</v>
      </c>
      <c r="M95" s="10" t="s">
        <v>176</v>
      </c>
      <c r="N95" s="10"/>
      <c r="O95" s="10"/>
      <c r="P95" s="10" t="s">
        <v>41</v>
      </c>
      <c r="Q95" s="7" t="s">
        <v>30</v>
      </c>
      <c r="R95" s="15" t="s">
        <v>32</v>
      </c>
      <c r="S95" s="7" t="s">
        <v>443</v>
      </c>
      <c r="T95" s="15" t="s">
        <v>765</v>
      </c>
      <c r="U95" s="7" t="s">
        <v>766</v>
      </c>
      <c r="V95" s="88">
        <f>93+42</f>
        <v>135</v>
      </c>
      <c r="W95" s="14">
        <v>24</v>
      </c>
      <c r="X95" s="14">
        <v>6</v>
      </c>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20">
        <f t="shared" ref="BC95:BC96" si="9">+V95-W95</f>
        <v>111</v>
      </c>
      <c r="BD95" s="20">
        <f>42-6</f>
        <v>36</v>
      </c>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6">
        <v>0.43</v>
      </c>
      <c r="CJ95" s="26">
        <v>1.21</v>
      </c>
      <c r="CK95" s="26">
        <v>0.15</v>
      </c>
      <c r="CL95" s="26"/>
      <c r="CM95" s="26"/>
      <c r="CN95" s="26"/>
      <c r="CO95" s="9" t="s">
        <v>503</v>
      </c>
    </row>
    <row r="96" spans="1:93" s="8" customFormat="1">
      <c r="A96" s="27">
        <v>73</v>
      </c>
      <c r="B96" s="130" t="s">
        <v>1020</v>
      </c>
      <c r="C96" s="5" t="s">
        <v>233</v>
      </c>
      <c r="D96" s="5" t="s">
        <v>234</v>
      </c>
      <c r="E96" s="5" t="str">
        <f t="shared" si="6"/>
        <v>Stoma, 2016</v>
      </c>
      <c r="F96" s="7">
        <v>2016</v>
      </c>
      <c r="G96" s="7" t="s">
        <v>339</v>
      </c>
      <c r="H96" s="10" t="s">
        <v>68</v>
      </c>
      <c r="I96" s="10" t="s">
        <v>83</v>
      </c>
      <c r="J96" s="10" t="s">
        <v>338</v>
      </c>
      <c r="K96" s="10" t="s">
        <v>500</v>
      </c>
      <c r="L96" s="10" t="s">
        <v>62</v>
      </c>
      <c r="M96" s="10" t="s">
        <v>643</v>
      </c>
      <c r="N96" s="10" t="s">
        <v>63</v>
      </c>
      <c r="O96" s="10" t="s">
        <v>42</v>
      </c>
      <c r="P96" s="10" t="s">
        <v>41</v>
      </c>
      <c r="Q96" s="7" t="s">
        <v>51</v>
      </c>
      <c r="R96" s="15" t="s">
        <v>52</v>
      </c>
      <c r="S96" s="7" t="s">
        <v>429</v>
      </c>
      <c r="T96" s="15" t="s">
        <v>771</v>
      </c>
      <c r="U96" s="7" t="s">
        <v>772</v>
      </c>
      <c r="V96" s="88">
        <f>93+42</f>
        <v>135</v>
      </c>
      <c r="W96" s="14">
        <v>15</v>
      </c>
      <c r="X96" s="14">
        <v>4</v>
      </c>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20">
        <f t="shared" si="9"/>
        <v>120</v>
      </c>
      <c r="BD96" s="20">
        <f>42-4</f>
        <v>38</v>
      </c>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6">
        <v>0.52</v>
      </c>
      <c r="CJ96" s="26">
        <v>1.77</v>
      </c>
      <c r="CK96" s="26">
        <v>0.15</v>
      </c>
      <c r="CL96" s="26"/>
      <c r="CM96" s="26"/>
      <c r="CN96" s="26"/>
      <c r="CO96" s="9" t="s">
        <v>502</v>
      </c>
    </row>
    <row r="97" spans="1:93" s="8" customFormat="1">
      <c r="A97" s="27">
        <v>74</v>
      </c>
      <c r="B97" s="15">
        <v>74</v>
      </c>
      <c r="C97" s="5" t="s">
        <v>962</v>
      </c>
      <c r="D97" s="5" t="s">
        <v>1053</v>
      </c>
      <c r="E97" s="5" t="str">
        <f t="shared" si="6"/>
        <v>Tang, 2021</v>
      </c>
      <c r="F97" s="7">
        <v>2021</v>
      </c>
      <c r="G97" s="7" t="s">
        <v>95</v>
      </c>
      <c r="H97" s="10" t="s">
        <v>68</v>
      </c>
      <c r="I97" s="10" t="s">
        <v>96</v>
      </c>
      <c r="J97" s="10" t="s">
        <v>1035</v>
      </c>
      <c r="K97" s="10" t="s">
        <v>1036</v>
      </c>
      <c r="L97" s="10" t="s">
        <v>408</v>
      </c>
      <c r="M97" s="10" t="s">
        <v>408</v>
      </c>
      <c r="N97" s="10"/>
      <c r="O97" s="10" t="s">
        <v>45</v>
      </c>
      <c r="P97" s="10" t="s">
        <v>41</v>
      </c>
      <c r="Q97" s="7" t="s">
        <v>30</v>
      </c>
      <c r="R97" s="15" t="s">
        <v>32</v>
      </c>
      <c r="S97" s="7" t="s">
        <v>429</v>
      </c>
      <c r="T97" s="15" t="s">
        <v>786</v>
      </c>
      <c r="U97" s="7" t="s">
        <v>787</v>
      </c>
      <c r="V97" s="88">
        <v>835</v>
      </c>
      <c r="W97" s="14">
        <v>78</v>
      </c>
      <c r="X97" s="14">
        <v>27</v>
      </c>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20">
        <f>835-78</f>
        <v>757</v>
      </c>
      <c r="BD97" s="20">
        <f>106-27</f>
        <v>79</v>
      </c>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6">
        <v>4.54</v>
      </c>
      <c r="CJ97" s="26">
        <v>7.5369999999999999</v>
      </c>
      <c r="CK97" s="26">
        <v>2.6970000000000001</v>
      </c>
      <c r="CL97" s="26">
        <v>1.43</v>
      </c>
      <c r="CM97" s="26">
        <v>3.2709999999999999</v>
      </c>
      <c r="CN97" s="26">
        <v>0.625</v>
      </c>
      <c r="CO97" s="9" t="s">
        <v>1030</v>
      </c>
    </row>
    <row r="98" spans="1:93" s="8" customFormat="1">
      <c r="A98" s="27">
        <v>75</v>
      </c>
      <c r="B98" s="15">
        <f>+A98</f>
        <v>75</v>
      </c>
      <c r="C98" s="5" t="s">
        <v>235</v>
      </c>
      <c r="D98" s="5" t="s">
        <v>236</v>
      </c>
      <c r="E98" s="5" t="str">
        <f t="shared" si="6"/>
        <v>Tian, 2016</v>
      </c>
      <c r="F98" s="7">
        <v>2016</v>
      </c>
      <c r="G98" s="7" t="s">
        <v>95</v>
      </c>
      <c r="H98" s="10" t="s">
        <v>68</v>
      </c>
      <c r="I98" s="10" t="s">
        <v>96</v>
      </c>
      <c r="J98" s="10" t="s">
        <v>341</v>
      </c>
      <c r="K98" s="10" t="s">
        <v>342</v>
      </c>
      <c r="L98" s="10" t="s">
        <v>97</v>
      </c>
      <c r="M98" s="10" t="s">
        <v>176</v>
      </c>
      <c r="N98" s="10"/>
      <c r="O98" s="10" t="s">
        <v>45</v>
      </c>
      <c r="P98" s="10" t="s">
        <v>41</v>
      </c>
      <c r="Q98" s="7" t="s">
        <v>30</v>
      </c>
      <c r="R98" s="15" t="s">
        <v>32</v>
      </c>
      <c r="S98" s="7" t="s">
        <v>429</v>
      </c>
      <c r="T98" s="15" t="s">
        <v>779</v>
      </c>
      <c r="U98" s="7" t="s">
        <v>780</v>
      </c>
      <c r="V98" s="88">
        <f>33+81</f>
        <v>114</v>
      </c>
      <c r="W98" s="14">
        <v>33</v>
      </c>
      <c r="X98" s="14">
        <v>14</v>
      </c>
      <c r="Y98" s="14">
        <v>50</v>
      </c>
      <c r="Z98" s="14"/>
      <c r="AA98" s="14">
        <f>+Y98-24</f>
        <v>26</v>
      </c>
      <c r="AB98" s="14"/>
      <c r="AC98" s="14"/>
      <c r="AD98" s="14"/>
      <c r="AE98" s="14"/>
      <c r="AF98" s="14">
        <v>51.7</v>
      </c>
      <c r="AG98" s="14">
        <v>16.260000000000002</v>
      </c>
      <c r="AH98" s="14">
        <f>33-22</f>
        <v>11</v>
      </c>
      <c r="AI98" s="14">
        <v>21</v>
      </c>
      <c r="AJ98" s="14"/>
      <c r="AK98" s="14"/>
      <c r="AL98" s="14">
        <v>3</v>
      </c>
      <c r="AM98" s="14"/>
      <c r="AN98" s="14">
        <v>4</v>
      </c>
      <c r="AO98" s="14">
        <v>12</v>
      </c>
      <c r="AP98" s="14">
        <v>5</v>
      </c>
      <c r="AQ98" s="14">
        <v>3</v>
      </c>
      <c r="AR98" s="14">
        <v>1</v>
      </c>
      <c r="AS98" s="14"/>
      <c r="AT98" s="14"/>
      <c r="AU98" s="14">
        <v>2</v>
      </c>
      <c r="AV98" s="14"/>
      <c r="AW98" s="14">
        <v>6</v>
      </c>
      <c r="AX98" s="14">
        <v>10</v>
      </c>
      <c r="AY98" s="14">
        <v>22</v>
      </c>
      <c r="AZ98" s="14">
        <v>1</v>
      </c>
      <c r="BA98" s="14"/>
      <c r="BB98" s="14">
        <v>3</v>
      </c>
      <c r="BC98" s="20">
        <v>81</v>
      </c>
      <c r="BD98" s="20">
        <v>16</v>
      </c>
      <c r="BE98" s="20">
        <v>24</v>
      </c>
      <c r="BF98" s="20"/>
      <c r="BG98" s="20">
        <f>+BE98-15</f>
        <v>9</v>
      </c>
      <c r="BH98" s="20"/>
      <c r="BI98" s="20"/>
      <c r="BJ98" s="20"/>
      <c r="BK98" s="20"/>
      <c r="BL98" s="20">
        <v>58.27</v>
      </c>
      <c r="BM98" s="20">
        <v>16.11</v>
      </c>
      <c r="BN98" s="20">
        <v>29</v>
      </c>
      <c r="BO98" s="20">
        <v>41</v>
      </c>
      <c r="BP98" s="20"/>
      <c r="BQ98" s="20"/>
      <c r="BR98" s="20">
        <v>27</v>
      </c>
      <c r="BS98" s="20"/>
      <c r="BT98" s="20">
        <v>5</v>
      </c>
      <c r="BU98" s="20">
        <v>47</v>
      </c>
      <c r="BV98" s="20">
        <v>15</v>
      </c>
      <c r="BW98" s="20">
        <v>5</v>
      </c>
      <c r="BX98" s="20">
        <v>2</v>
      </c>
      <c r="BY98" s="20"/>
      <c r="BZ98" s="20"/>
      <c r="CA98" s="20">
        <v>1</v>
      </c>
      <c r="CB98" s="20">
        <v>1</v>
      </c>
      <c r="CC98" s="20">
        <v>11</v>
      </c>
      <c r="CD98" s="20">
        <v>27</v>
      </c>
      <c r="CE98" s="20">
        <v>38</v>
      </c>
      <c r="CF98" s="20">
        <v>5</v>
      </c>
      <c r="CG98" s="20"/>
      <c r="CH98" s="20">
        <v>4</v>
      </c>
      <c r="CI98" s="26">
        <v>2.2000000000000002</v>
      </c>
      <c r="CJ98" s="26">
        <v>5.5</v>
      </c>
      <c r="CK98" s="26">
        <v>0.9</v>
      </c>
      <c r="CL98" s="26"/>
      <c r="CM98" s="26"/>
      <c r="CN98" s="26"/>
      <c r="CO98" s="9"/>
    </row>
    <row r="99" spans="1:93" s="8" customFormat="1">
      <c r="A99" s="27">
        <v>76</v>
      </c>
      <c r="B99" s="15">
        <f t="shared" ref="B99:B133" si="10">+A99</f>
        <v>76</v>
      </c>
      <c r="C99" s="5" t="s">
        <v>237</v>
      </c>
      <c r="D99" s="5" t="s">
        <v>238</v>
      </c>
      <c r="E99" s="5" t="str">
        <f t="shared" si="6"/>
        <v>Topeli, 2000</v>
      </c>
      <c r="F99" s="7">
        <v>2000</v>
      </c>
      <c r="G99" s="7" t="s">
        <v>73</v>
      </c>
      <c r="H99" s="10" t="s">
        <v>68</v>
      </c>
      <c r="I99" s="10" t="s">
        <v>83</v>
      </c>
      <c r="J99" s="10" t="s">
        <v>343</v>
      </c>
      <c r="K99" s="10" t="s">
        <v>344</v>
      </c>
      <c r="L99" s="10" t="s">
        <v>62</v>
      </c>
      <c r="M99" s="10" t="s">
        <v>643</v>
      </c>
      <c r="N99" s="10" t="s">
        <v>63</v>
      </c>
      <c r="O99" s="10" t="s">
        <v>42</v>
      </c>
      <c r="P99" s="10" t="s">
        <v>41</v>
      </c>
      <c r="Q99" s="7" t="s">
        <v>51</v>
      </c>
      <c r="R99" s="15" t="s">
        <v>52</v>
      </c>
      <c r="S99" s="7" t="s">
        <v>429</v>
      </c>
      <c r="T99" s="15" t="s">
        <v>771</v>
      </c>
      <c r="U99" s="7" t="s">
        <v>772</v>
      </c>
      <c r="V99" s="88">
        <v>101</v>
      </c>
      <c r="W99" s="14">
        <v>46</v>
      </c>
      <c r="X99" s="14">
        <v>27</v>
      </c>
      <c r="Y99" s="14">
        <v>50.3</v>
      </c>
      <c r="Z99" s="14">
        <v>4.8</v>
      </c>
      <c r="AA99" s="14"/>
      <c r="AB99" s="14">
        <v>20</v>
      </c>
      <c r="AC99" s="14"/>
      <c r="AD99" s="14"/>
      <c r="AE99" s="14"/>
      <c r="AF99" s="14">
        <v>44.7</v>
      </c>
      <c r="AG99" s="14">
        <v>2.4</v>
      </c>
      <c r="AH99" s="14">
        <v>19</v>
      </c>
      <c r="AI99" s="14"/>
      <c r="AJ99" s="14"/>
      <c r="AK99" s="14">
        <v>7</v>
      </c>
      <c r="AL99" s="14"/>
      <c r="AM99" s="14"/>
      <c r="AN99" s="14"/>
      <c r="AO99" s="14"/>
      <c r="AP99" s="14"/>
      <c r="AQ99" s="14"/>
      <c r="AR99" s="14"/>
      <c r="AS99" s="14"/>
      <c r="AT99" s="14">
        <v>17</v>
      </c>
      <c r="AU99" s="14"/>
      <c r="AV99" s="14"/>
      <c r="AW99" s="14"/>
      <c r="AX99" s="14"/>
      <c r="AY99" s="14"/>
      <c r="AZ99" s="14"/>
      <c r="BA99" s="14"/>
      <c r="BB99" s="14"/>
      <c r="BC99" s="20">
        <v>55</v>
      </c>
      <c r="BD99" s="20">
        <v>17</v>
      </c>
      <c r="BE99" s="20">
        <v>32.700000000000003</v>
      </c>
      <c r="BF99" s="20">
        <v>3.1</v>
      </c>
      <c r="BG99" s="20"/>
      <c r="BH99" s="20">
        <v>13</v>
      </c>
      <c r="BI99" s="20"/>
      <c r="BJ99" s="20"/>
      <c r="BK99" s="20"/>
      <c r="BL99" s="20">
        <v>49.3</v>
      </c>
      <c r="BM99" s="20">
        <v>2.4</v>
      </c>
      <c r="BN99" s="20">
        <v>27</v>
      </c>
      <c r="BO99" s="20"/>
      <c r="BP99" s="20"/>
      <c r="BQ99" s="20">
        <v>15</v>
      </c>
      <c r="BR99" s="20"/>
      <c r="BS99" s="20"/>
      <c r="BT99" s="20"/>
      <c r="BU99" s="20"/>
      <c r="BV99" s="20"/>
      <c r="BW99" s="20"/>
      <c r="BX99" s="20"/>
      <c r="BY99" s="20"/>
      <c r="BZ99" s="20">
        <v>23</v>
      </c>
      <c r="CA99" s="20"/>
      <c r="CB99" s="20"/>
      <c r="CC99" s="20"/>
      <c r="CD99" s="20"/>
      <c r="CE99" s="20"/>
      <c r="CF99" s="20"/>
      <c r="CG99" s="20"/>
      <c r="CH99" s="20"/>
      <c r="CI99" s="26"/>
      <c r="CJ99" s="26"/>
      <c r="CK99" s="26"/>
      <c r="CL99" s="26">
        <v>5.6</v>
      </c>
      <c r="CM99" s="26"/>
      <c r="CN99" s="26"/>
      <c r="CO99" s="9" t="s">
        <v>544</v>
      </c>
    </row>
    <row r="100" spans="1:93" s="8" customFormat="1">
      <c r="A100" s="27">
        <v>77</v>
      </c>
      <c r="B100" s="15">
        <f t="shared" si="10"/>
        <v>77</v>
      </c>
      <c r="C100" s="5" t="s">
        <v>239</v>
      </c>
      <c r="D100" s="5" t="s">
        <v>240</v>
      </c>
      <c r="E100" s="5" t="str">
        <f t="shared" si="6"/>
        <v>Traverso, 2010</v>
      </c>
      <c r="F100" s="7">
        <v>2010</v>
      </c>
      <c r="G100" s="7" t="s">
        <v>89</v>
      </c>
      <c r="H100" s="10" t="s">
        <v>68</v>
      </c>
      <c r="I100" s="10" t="s">
        <v>80</v>
      </c>
      <c r="J100" s="10" t="s">
        <v>346</v>
      </c>
      <c r="K100" s="10" t="s">
        <v>345</v>
      </c>
      <c r="L100" s="10" t="s">
        <v>62</v>
      </c>
      <c r="M100" s="10" t="s">
        <v>643</v>
      </c>
      <c r="N100" s="10" t="s">
        <v>63</v>
      </c>
      <c r="O100" s="10" t="s">
        <v>42</v>
      </c>
      <c r="P100" s="10" t="s">
        <v>41</v>
      </c>
      <c r="Q100" s="7" t="s">
        <v>51</v>
      </c>
      <c r="R100" s="15" t="s">
        <v>52</v>
      </c>
      <c r="S100" s="7" t="s">
        <v>429</v>
      </c>
      <c r="T100" s="15" t="s">
        <v>771</v>
      </c>
      <c r="U100" s="7" t="s">
        <v>772</v>
      </c>
      <c r="V100" s="88">
        <f>17+22</f>
        <v>39</v>
      </c>
      <c r="W100" s="14">
        <v>17</v>
      </c>
      <c r="X100" s="14">
        <v>12</v>
      </c>
      <c r="Y100" s="14"/>
      <c r="Z100" s="14"/>
      <c r="AA100" s="14"/>
      <c r="AB100" s="14"/>
      <c r="AC100" s="14"/>
      <c r="AD100" s="14"/>
      <c r="AE100" s="14"/>
      <c r="AF100" s="14"/>
      <c r="AG100" s="14"/>
      <c r="AH100" s="14">
        <v>7</v>
      </c>
      <c r="AI100" s="14"/>
      <c r="AJ100" s="14">
        <v>11</v>
      </c>
      <c r="AK100" s="14"/>
      <c r="AL100" s="14"/>
      <c r="AM100" s="14"/>
      <c r="AN100" s="14"/>
      <c r="AO100" s="14"/>
      <c r="AP100" s="14"/>
      <c r="AQ100" s="14"/>
      <c r="AR100" s="14"/>
      <c r="AS100" s="14"/>
      <c r="AT100" s="14"/>
      <c r="AU100" s="14"/>
      <c r="AV100" s="14"/>
      <c r="AW100" s="14"/>
      <c r="AX100" s="14">
        <v>7</v>
      </c>
      <c r="AY100" s="14">
        <v>10</v>
      </c>
      <c r="AZ100" s="14">
        <v>5</v>
      </c>
      <c r="BA100" s="14"/>
      <c r="BB100" s="14"/>
      <c r="BC100" s="20">
        <v>22</v>
      </c>
      <c r="BD100" s="20">
        <v>8</v>
      </c>
      <c r="BE100" s="20"/>
      <c r="BF100" s="20"/>
      <c r="BG100" s="20"/>
      <c r="BH100" s="20"/>
      <c r="BI100" s="20"/>
      <c r="BJ100" s="20"/>
      <c r="BK100" s="20"/>
      <c r="BL100" s="20"/>
      <c r="BM100" s="20"/>
      <c r="BN100" s="20">
        <v>8</v>
      </c>
      <c r="BO100" s="20"/>
      <c r="BP100" s="20">
        <v>5</v>
      </c>
      <c r="BQ100" s="20"/>
      <c r="BR100" s="20"/>
      <c r="BS100" s="20"/>
      <c r="BT100" s="20"/>
      <c r="BU100" s="20"/>
      <c r="BV100" s="20"/>
      <c r="BW100" s="20"/>
      <c r="BX100" s="20"/>
      <c r="BY100" s="20"/>
      <c r="BZ100" s="20"/>
      <c r="CA100" s="20"/>
      <c r="CB100" s="20"/>
      <c r="CC100" s="20"/>
      <c r="CD100" s="20">
        <v>4</v>
      </c>
      <c r="CE100" s="20">
        <v>12</v>
      </c>
      <c r="CF100" s="20">
        <v>7</v>
      </c>
      <c r="CG100" s="20"/>
      <c r="CH100" s="20"/>
      <c r="CI100" s="26"/>
      <c r="CJ100" s="26"/>
      <c r="CK100" s="26"/>
      <c r="CL100" s="26">
        <v>4</v>
      </c>
      <c r="CM100" s="26">
        <v>16.32</v>
      </c>
      <c r="CN100" s="26">
        <v>1.08</v>
      </c>
      <c r="CO100" s="9"/>
    </row>
    <row r="101" spans="1:93" s="8" customFormat="1">
      <c r="A101" s="27">
        <v>78</v>
      </c>
      <c r="B101" s="15">
        <f t="shared" si="10"/>
        <v>78</v>
      </c>
      <c r="C101" s="5" t="s">
        <v>241</v>
      </c>
      <c r="D101" s="5" t="s">
        <v>242</v>
      </c>
      <c r="E101" s="5" t="str">
        <f t="shared" si="6"/>
        <v>Tu, 2018</v>
      </c>
      <c r="F101" s="7">
        <v>2018</v>
      </c>
      <c r="G101" s="7" t="s">
        <v>95</v>
      </c>
      <c r="H101" s="10" t="s">
        <v>68</v>
      </c>
      <c r="I101" s="10" t="s">
        <v>96</v>
      </c>
      <c r="J101" s="10" t="s">
        <v>347</v>
      </c>
      <c r="K101" s="10" t="s">
        <v>348</v>
      </c>
      <c r="L101" s="10" t="s">
        <v>169</v>
      </c>
      <c r="M101" s="10" t="s">
        <v>176</v>
      </c>
      <c r="N101" s="10" t="s">
        <v>648</v>
      </c>
      <c r="O101" s="10" t="s">
        <v>56</v>
      </c>
      <c r="P101" s="10" t="s">
        <v>56</v>
      </c>
      <c r="Q101" s="7" t="s">
        <v>30</v>
      </c>
      <c r="R101" s="15" t="s">
        <v>32</v>
      </c>
      <c r="S101" s="7" t="s">
        <v>434</v>
      </c>
      <c r="T101" s="15" t="s">
        <v>434</v>
      </c>
      <c r="U101" s="7" t="s">
        <v>770</v>
      </c>
      <c r="V101" s="88">
        <v>200</v>
      </c>
      <c r="W101" s="14">
        <v>55</v>
      </c>
      <c r="X101" s="14">
        <v>9</v>
      </c>
      <c r="Y101" s="14"/>
      <c r="Z101" s="14"/>
      <c r="AA101" s="14"/>
      <c r="AB101" s="14">
        <v>16</v>
      </c>
      <c r="AC101" s="14"/>
      <c r="AD101" s="14"/>
      <c r="AE101" s="14"/>
      <c r="AF101" s="14"/>
      <c r="AG101" s="14"/>
      <c r="AH101" s="14"/>
      <c r="AI101" s="14"/>
      <c r="AJ101" s="14"/>
      <c r="AK101" s="14">
        <v>23</v>
      </c>
      <c r="AL101" s="14"/>
      <c r="AM101" s="14"/>
      <c r="AN101" s="14"/>
      <c r="AO101" s="14"/>
      <c r="AP101" s="14"/>
      <c r="AQ101" s="14"/>
      <c r="AR101" s="14"/>
      <c r="AS101" s="14"/>
      <c r="AT101" s="14"/>
      <c r="AU101" s="14"/>
      <c r="AV101" s="14"/>
      <c r="AW101" s="14"/>
      <c r="AX101" s="14"/>
      <c r="AY101" s="14"/>
      <c r="AZ101" s="14"/>
      <c r="BA101" s="14"/>
      <c r="BB101" s="14"/>
      <c r="BC101" s="20">
        <v>145</v>
      </c>
      <c r="BD101" s="20">
        <v>19</v>
      </c>
      <c r="BE101" s="20"/>
      <c r="BF101" s="20"/>
      <c r="BG101" s="20"/>
      <c r="BH101" s="20">
        <v>18</v>
      </c>
      <c r="BI101" s="20"/>
      <c r="BJ101" s="20"/>
      <c r="BK101" s="20"/>
      <c r="BL101" s="20"/>
      <c r="BM101" s="20"/>
      <c r="BN101" s="20"/>
      <c r="BO101" s="20"/>
      <c r="BP101" s="20"/>
      <c r="BQ101" s="20">
        <v>57</v>
      </c>
      <c r="BR101" s="20"/>
      <c r="BS101" s="20"/>
      <c r="BT101" s="20"/>
      <c r="BU101" s="20"/>
      <c r="BV101" s="20"/>
      <c r="BW101" s="20"/>
      <c r="BX101" s="20"/>
      <c r="BY101" s="20"/>
      <c r="BZ101" s="20"/>
      <c r="CA101" s="20"/>
      <c r="CB101" s="20"/>
      <c r="CC101" s="20"/>
      <c r="CD101" s="20"/>
      <c r="CE101" s="20"/>
      <c r="CF101" s="20"/>
      <c r="CG101" s="20"/>
      <c r="CH101" s="20"/>
      <c r="CI101" s="26"/>
      <c r="CJ101" s="26"/>
      <c r="CK101" s="26"/>
      <c r="CL101" s="26"/>
      <c r="CM101" s="26"/>
      <c r="CN101" s="26"/>
      <c r="CO101" s="9"/>
    </row>
    <row r="102" spans="1:93" s="8" customFormat="1">
      <c r="A102" s="27">
        <v>79</v>
      </c>
      <c r="B102" s="15">
        <f t="shared" si="10"/>
        <v>79</v>
      </c>
      <c r="C102" s="5" t="s">
        <v>243</v>
      </c>
      <c r="D102" s="5" t="s">
        <v>244</v>
      </c>
      <c r="E102" s="5" t="str">
        <f t="shared" si="6"/>
        <v>Tuon, 2012</v>
      </c>
      <c r="F102" s="7">
        <v>2012</v>
      </c>
      <c r="G102" s="7" t="s">
        <v>78</v>
      </c>
      <c r="H102" s="10" t="s">
        <v>68</v>
      </c>
      <c r="I102" s="10" t="s">
        <v>80</v>
      </c>
      <c r="J102" s="10" t="s">
        <v>349</v>
      </c>
      <c r="K102" s="10" t="s">
        <v>350</v>
      </c>
      <c r="L102" s="10" t="s">
        <v>107</v>
      </c>
      <c r="M102" s="10" t="s">
        <v>642</v>
      </c>
      <c r="N102" s="10" t="s">
        <v>422</v>
      </c>
      <c r="O102" s="10" t="s">
        <v>45</v>
      </c>
      <c r="P102" s="10" t="s">
        <v>41</v>
      </c>
      <c r="Q102" s="7" t="s">
        <v>30</v>
      </c>
      <c r="R102" s="15" t="s">
        <v>32</v>
      </c>
      <c r="S102" s="7" t="s">
        <v>429</v>
      </c>
      <c r="T102" s="15" t="s">
        <v>777</v>
      </c>
      <c r="U102" s="7" t="s">
        <v>778</v>
      </c>
      <c r="V102" s="88">
        <f>48+29</f>
        <v>77</v>
      </c>
      <c r="W102" s="14">
        <v>29</v>
      </c>
      <c r="X102" s="14">
        <v>13</v>
      </c>
      <c r="Y102" s="14">
        <v>43</v>
      </c>
      <c r="Z102" s="14">
        <v>31.7</v>
      </c>
      <c r="AA102" s="14">
        <v>24.6</v>
      </c>
      <c r="AB102" s="14">
        <v>24</v>
      </c>
      <c r="AC102" s="14"/>
      <c r="AD102" s="14"/>
      <c r="AE102" s="14"/>
      <c r="AF102" s="14">
        <v>46.4</v>
      </c>
      <c r="AG102" s="14">
        <v>22.71</v>
      </c>
      <c r="AH102" s="14">
        <v>7</v>
      </c>
      <c r="AI102" s="14">
        <v>4</v>
      </c>
      <c r="AJ102" s="14">
        <v>7</v>
      </c>
      <c r="AK102" s="14"/>
      <c r="AL102" s="14">
        <v>4</v>
      </c>
      <c r="AM102" s="14">
        <v>6</v>
      </c>
      <c r="AN102" s="14"/>
      <c r="AO102" s="14"/>
      <c r="AP102" s="14"/>
      <c r="AQ102" s="14">
        <v>4</v>
      </c>
      <c r="AR102" s="14">
        <v>1</v>
      </c>
      <c r="AS102" s="14"/>
      <c r="AT102" s="14">
        <v>12</v>
      </c>
      <c r="AU102" s="14"/>
      <c r="AV102" s="14"/>
      <c r="AW102" s="14"/>
      <c r="AX102" s="14"/>
      <c r="AY102" s="14"/>
      <c r="AZ102" s="14"/>
      <c r="BA102" s="14"/>
      <c r="BB102" s="14"/>
      <c r="BC102" s="20">
        <v>48</v>
      </c>
      <c r="BD102" s="20">
        <v>26</v>
      </c>
      <c r="BE102" s="20">
        <v>43.1</v>
      </c>
      <c r="BF102" s="20">
        <v>31.2</v>
      </c>
      <c r="BG102" s="20">
        <v>19.600000000000001</v>
      </c>
      <c r="BH102" s="20">
        <v>25</v>
      </c>
      <c r="BI102" s="20"/>
      <c r="BJ102" s="20"/>
      <c r="BK102" s="20"/>
      <c r="BL102" s="20">
        <v>49</v>
      </c>
      <c r="BM102" s="20">
        <v>20.399999999999999</v>
      </c>
      <c r="BN102" s="20">
        <v>14</v>
      </c>
      <c r="BO102" s="20">
        <v>8</v>
      </c>
      <c r="BP102" s="20">
        <v>16</v>
      </c>
      <c r="BQ102" s="20"/>
      <c r="BR102" s="20">
        <v>7</v>
      </c>
      <c r="BS102" s="20">
        <v>13</v>
      </c>
      <c r="BT102" s="20">
        <v>2</v>
      </c>
      <c r="BU102" s="20"/>
      <c r="BV102" s="20"/>
      <c r="BW102" s="20">
        <v>6</v>
      </c>
      <c r="BX102" s="20">
        <v>1</v>
      </c>
      <c r="BY102" s="20"/>
      <c r="BZ102" s="20">
        <v>29</v>
      </c>
      <c r="CA102" s="20"/>
      <c r="CB102" s="20"/>
      <c r="CC102" s="20"/>
      <c r="CD102" s="20"/>
      <c r="CE102" s="20"/>
      <c r="CF102" s="20"/>
      <c r="CG102" s="20"/>
      <c r="CH102" s="20"/>
      <c r="CI102" s="26"/>
      <c r="CJ102" s="26"/>
      <c r="CK102" s="26"/>
      <c r="CL102" s="26"/>
      <c r="CM102" s="26"/>
      <c r="CN102" s="26"/>
      <c r="CO102" s="9"/>
    </row>
    <row r="103" spans="1:93" s="8" customFormat="1">
      <c r="A103" s="27">
        <v>80</v>
      </c>
      <c r="B103" s="15">
        <f t="shared" si="10"/>
        <v>80</v>
      </c>
      <c r="C103" s="5" t="s">
        <v>245</v>
      </c>
      <c r="D103" s="5" t="s">
        <v>246</v>
      </c>
      <c r="E103" s="5" t="str">
        <f t="shared" si="6"/>
        <v>Valderrama, 2016</v>
      </c>
      <c r="F103" s="7">
        <v>2016</v>
      </c>
      <c r="G103" s="7" t="s">
        <v>65</v>
      </c>
      <c r="H103" s="10" t="s">
        <v>68</v>
      </c>
      <c r="I103" s="10" t="s">
        <v>80</v>
      </c>
      <c r="J103" s="10" t="s">
        <v>351</v>
      </c>
      <c r="K103" s="10" t="s">
        <v>352</v>
      </c>
      <c r="L103" s="10" t="s">
        <v>107</v>
      </c>
      <c r="M103" s="10" t="s">
        <v>642</v>
      </c>
      <c r="N103" s="10" t="s">
        <v>658</v>
      </c>
      <c r="O103" s="10" t="s">
        <v>45</v>
      </c>
      <c r="P103" s="10" t="s">
        <v>41</v>
      </c>
      <c r="Q103" s="7" t="s">
        <v>30</v>
      </c>
      <c r="R103" s="15" t="s">
        <v>32</v>
      </c>
      <c r="S103" s="7" t="s">
        <v>429</v>
      </c>
      <c r="T103" s="15" t="s">
        <v>777</v>
      </c>
      <c r="U103" s="7" t="s">
        <v>778</v>
      </c>
      <c r="V103" s="88">
        <f>+W103+126</f>
        <v>168</v>
      </c>
      <c r="W103" s="14">
        <v>42</v>
      </c>
      <c r="X103" s="14">
        <v>24</v>
      </c>
      <c r="Y103" s="14">
        <v>26</v>
      </c>
      <c r="Z103" s="14"/>
      <c r="AA103" s="14"/>
      <c r="AB103" s="14">
        <v>26</v>
      </c>
      <c r="AC103" s="14">
        <v>12.5</v>
      </c>
      <c r="AD103" s="14"/>
      <c r="AE103" s="14"/>
      <c r="AF103" s="14">
        <v>60</v>
      </c>
      <c r="AG103" s="14"/>
      <c r="AH103" s="14">
        <v>17</v>
      </c>
      <c r="AI103" s="14">
        <v>24</v>
      </c>
      <c r="AJ103" s="14"/>
      <c r="AK103" s="14"/>
      <c r="AL103" s="14"/>
      <c r="AM103" s="14"/>
      <c r="AN103" s="14"/>
      <c r="AO103" s="14"/>
      <c r="AP103" s="14"/>
      <c r="AQ103" s="14">
        <f>42-25</f>
        <v>17</v>
      </c>
      <c r="AR103" s="14">
        <v>9</v>
      </c>
      <c r="AS103" s="14"/>
      <c r="AT103" s="14"/>
      <c r="AU103" s="14"/>
      <c r="AV103" s="14">
        <v>4</v>
      </c>
      <c r="AW103" s="14">
        <v>14</v>
      </c>
      <c r="AX103" s="14">
        <v>3</v>
      </c>
      <c r="AY103" s="14">
        <v>13</v>
      </c>
      <c r="AZ103" s="14">
        <v>8</v>
      </c>
      <c r="BA103" s="14">
        <v>14.5</v>
      </c>
      <c r="BB103" s="14"/>
      <c r="BC103" s="20">
        <v>126</v>
      </c>
      <c r="BD103" s="20">
        <v>45</v>
      </c>
      <c r="BE103" s="20">
        <v>16</v>
      </c>
      <c r="BF103" s="20"/>
      <c r="BG103" s="20"/>
      <c r="BH103" s="20">
        <v>73</v>
      </c>
      <c r="BI103" s="20">
        <v>8</v>
      </c>
      <c r="BJ103" s="20"/>
      <c r="BK103" s="20"/>
      <c r="BL103" s="20">
        <v>64.5</v>
      </c>
      <c r="BM103" s="20"/>
      <c r="BN103" s="20">
        <v>62</v>
      </c>
      <c r="BO103" s="20">
        <v>43</v>
      </c>
      <c r="BP103" s="20"/>
      <c r="BQ103" s="20"/>
      <c r="BR103" s="20"/>
      <c r="BS103" s="20"/>
      <c r="BT103" s="20"/>
      <c r="BU103" s="20"/>
      <c r="BV103" s="20"/>
      <c r="BW103" s="20">
        <f>126-76</f>
        <v>50</v>
      </c>
      <c r="BX103" s="20">
        <v>28</v>
      </c>
      <c r="BY103" s="20"/>
      <c r="BZ103" s="20"/>
      <c r="CA103" s="20"/>
      <c r="CB103" s="20">
        <v>13</v>
      </c>
      <c r="CC103" s="20">
        <v>37</v>
      </c>
      <c r="CD103" s="20">
        <v>27</v>
      </c>
      <c r="CE103" s="20">
        <v>31</v>
      </c>
      <c r="CF103" s="20">
        <v>18</v>
      </c>
      <c r="CG103" s="20">
        <v>11.5</v>
      </c>
      <c r="CH103" s="20"/>
      <c r="CI103" s="26"/>
      <c r="CJ103" s="26"/>
      <c r="CK103" s="26"/>
      <c r="CL103" s="26"/>
      <c r="CM103" s="26"/>
      <c r="CN103" s="26"/>
      <c r="CO103" s="9"/>
    </row>
    <row r="104" spans="1:93" s="8" customFormat="1">
      <c r="A104" s="27">
        <v>81</v>
      </c>
      <c r="B104" s="15">
        <f t="shared" si="10"/>
        <v>81</v>
      </c>
      <c r="C104" s="5" t="s">
        <v>247</v>
      </c>
      <c r="D104" s="5" t="s">
        <v>248</v>
      </c>
      <c r="E104" s="5" t="str">
        <f t="shared" si="6"/>
        <v>Wang, 2016</v>
      </c>
      <c r="F104" s="7">
        <v>2016</v>
      </c>
      <c r="G104" s="7" t="s">
        <v>95</v>
      </c>
      <c r="H104" s="10" t="s">
        <v>68</v>
      </c>
      <c r="I104" s="10" t="s">
        <v>96</v>
      </c>
      <c r="J104" s="10" t="s">
        <v>353</v>
      </c>
      <c r="K104" s="10" t="s">
        <v>354</v>
      </c>
      <c r="L104" s="10" t="s">
        <v>506</v>
      </c>
      <c r="M104" s="10" t="s">
        <v>176</v>
      </c>
      <c r="N104" s="10" t="s">
        <v>656</v>
      </c>
      <c r="O104" s="10" t="s">
        <v>45</v>
      </c>
      <c r="P104" s="10" t="s">
        <v>41</v>
      </c>
      <c r="Q104" s="7" t="s">
        <v>30</v>
      </c>
      <c r="R104" s="15" t="s">
        <v>32</v>
      </c>
      <c r="S104" s="7" t="s">
        <v>429</v>
      </c>
      <c r="T104" s="15" t="s">
        <v>773</v>
      </c>
      <c r="U104" s="7" t="s">
        <v>774</v>
      </c>
      <c r="V104" s="88">
        <f>+W104+93</f>
        <v>187</v>
      </c>
      <c r="W104" s="14">
        <v>94</v>
      </c>
      <c r="X104" s="14">
        <v>33</v>
      </c>
      <c r="Y104" s="14">
        <v>40</v>
      </c>
      <c r="Z104" s="14"/>
      <c r="AA104" s="14"/>
      <c r="AB104" s="14">
        <v>49</v>
      </c>
      <c r="AC104" s="14">
        <v>5.5</v>
      </c>
      <c r="AD104" s="14"/>
      <c r="AE104" s="14"/>
      <c r="AF104" s="14">
        <v>61.81</v>
      </c>
      <c r="AG104" s="14">
        <v>18.440000000000001</v>
      </c>
      <c r="AH104" s="14">
        <f>94-52</f>
        <v>42</v>
      </c>
      <c r="AI104" s="14"/>
      <c r="AJ104" s="14"/>
      <c r="AK104" s="14"/>
      <c r="AL104" s="14">
        <v>16</v>
      </c>
      <c r="AM104" s="14"/>
      <c r="AN104" s="14">
        <v>18</v>
      </c>
      <c r="AO104" s="14">
        <v>42</v>
      </c>
      <c r="AP104" s="14">
        <v>15</v>
      </c>
      <c r="AQ104" s="14">
        <v>24</v>
      </c>
      <c r="AR104" s="14">
        <v>31</v>
      </c>
      <c r="AS104" s="14"/>
      <c r="AT104" s="14"/>
      <c r="AU104" s="14"/>
      <c r="AV104" s="14">
        <v>13</v>
      </c>
      <c r="AW104" s="14">
        <v>46</v>
      </c>
      <c r="AX104" s="14">
        <v>18</v>
      </c>
      <c r="AY104" s="14">
        <v>13</v>
      </c>
      <c r="AZ104" s="14">
        <v>4</v>
      </c>
      <c r="BA104" s="14">
        <v>18.329999999999998</v>
      </c>
      <c r="BB104" s="14"/>
      <c r="BC104" s="20">
        <v>93</v>
      </c>
      <c r="BD104" s="20">
        <v>11</v>
      </c>
      <c r="BE104" s="20">
        <v>26</v>
      </c>
      <c r="BF104" s="20"/>
      <c r="BG104" s="20"/>
      <c r="BH104" s="20">
        <v>33</v>
      </c>
      <c r="BI104" s="20">
        <v>0</v>
      </c>
      <c r="BJ104" s="20"/>
      <c r="BK104" s="20"/>
      <c r="BL104" s="20">
        <v>61.02</v>
      </c>
      <c r="BM104" s="20">
        <v>19.170000000000002</v>
      </c>
      <c r="BN104" s="20">
        <f>+BC104-58</f>
        <v>35</v>
      </c>
      <c r="BO104" s="20"/>
      <c r="BP104" s="20"/>
      <c r="BQ104" s="20"/>
      <c r="BR104" s="20">
        <v>27</v>
      </c>
      <c r="BS104" s="20"/>
      <c r="BT104" s="20">
        <v>29</v>
      </c>
      <c r="BU104" s="20">
        <v>34</v>
      </c>
      <c r="BV104" s="20">
        <v>17</v>
      </c>
      <c r="BW104" s="20">
        <v>28</v>
      </c>
      <c r="BX104" s="20">
        <v>26</v>
      </c>
      <c r="BY104" s="20"/>
      <c r="BZ104" s="20"/>
      <c r="CA104" s="20"/>
      <c r="CB104" s="20">
        <v>13</v>
      </c>
      <c r="CC104" s="20">
        <v>42</v>
      </c>
      <c r="CD104" s="20">
        <v>16</v>
      </c>
      <c r="CE104" s="20">
        <v>18</v>
      </c>
      <c r="CF104" s="20">
        <v>4</v>
      </c>
      <c r="CG104" s="20">
        <v>19.559999999999999</v>
      </c>
      <c r="CH104" s="20"/>
      <c r="CI104" s="26"/>
      <c r="CJ104" s="26"/>
      <c r="CK104" s="26"/>
      <c r="CL104" s="26">
        <v>3.044</v>
      </c>
      <c r="CM104" s="26">
        <v>6.5090000000000003</v>
      </c>
      <c r="CN104" s="26">
        <v>1.4239999999999999</v>
      </c>
      <c r="CO104" s="9"/>
    </row>
    <row r="105" spans="1:93" s="8" customFormat="1">
      <c r="A105" s="27">
        <v>82</v>
      </c>
      <c r="B105" s="15">
        <f t="shared" si="10"/>
        <v>82</v>
      </c>
      <c r="C105" s="5" t="s">
        <v>249</v>
      </c>
      <c r="D105" s="5" t="s">
        <v>250</v>
      </c>
      <c r="E105" s="5" t="str">
        <f t="shared" si="6"/>
        <v>Wang, 2018</v>
      </c>
      <c r="F105" s="7">
        <v>2018</v>
      </c>
      <c r="G105" s="7" t="s">
        <v>95</v>
      </c>
      <c r="H105" s="10" t="s">
        <v>68</v>
      </c>
      <c r="I105" s="10" t="s">
        <v>96</v>
      </c>
      <c r="J105" s="10" t="s">
        <v>355</v>
      </c>
      <c r="K105" s="10" t="s">
        <v>356</v>
      </c>
      <c r="L105" s="10" t="s">
        <v>97</v>
      </c>
      <c r="M105" s="10" t="s">
        <v>176</v>
      </c>
      <c r="N105" s="10" t="s">
        <v>418</v>
      </c>
      <c r="O105" s="10" t="s">
        <v>45</v>
      </c>
      <c r="P105" s="10" t="s">
        <v>41</v>
      </c>
      <c r="Q105" s="7" t="s">
        <v>30</v>
      </c>
      <c r="R105" s="15" t="s">
        <v>32</v>
      </c>
      <c r="S105" s="7" t="s">
        <v>429</v>
      </c>
      <c r="T105" s="15" t="s">
        <v>779</v>
      </c>
      <c r="U105" s="7" t="s">
        <v>780</v>
      </c>
      <c r="V105" s="88">
        <f>+W105*2</f>
        <v>96</v>
      </c>
      <c r="W105" s="14">
        <v>48</v>
      </c>
      <c r="X105" s="14">
        <v>23</v>
      </c>
      <c r="Y105" s="14">
        <v>84</v>
      </c>
      <c r="Z105" s="14"/>
      <c r="AA105" s="14"/>
      <c r="AB105" s="14">
        <v>25</v>
      </c>
      <c r="AC105" s="14"/>
      <c r="AD105" s="14"/>
      <c r="AE105" s="14"/>
      <c r="AF105" s="14">
        <v>67.7</v>
      </c>
      <c r="AG105" s="14">
        <v>19.5</v>
      </c>
      <c r="AH105" s="14">
        <f>48-35</f>
        <v>13</v>
      </c>
      <c r="AI105" s="14">
        <v>10</v>
      </c>
      <c r="AJ105" s="14">
        <v>33</v>
      </c>
      <c r="AK105" s="14"/>
      <c r="AL105" s="14">
        <v>18</v>
      </c>
      <c r="AM105" s="14"/>
      <c r="AN105" s="14">
        <v>34</v>
      </c>
      <c r="AO105" s="14">
        <v>13</v>
      </c>
      <c r="AP105" s="14"/>
      <c r="AQ105" s="14">
        <v>21</v>
      </c>
      <c r="AR105" s="14">
        <v>6</v>
      </c>
      <c r="AS105" s="14"/>
      <c r="AT105" s="14"/>
      <c r="AU105" s="14"/>
      <c r="AV105" s="14"/>
      <c r="AW105" s="14"/>
      <c r="AX105" s="14"/>
      <c r="AY105" s="14"/>
      <c r="AZ105" s="14"/>
      <c r="BA105" s="14"/>
      <c r="BB105" s="14">
        <v>4</v>
      </c>
      <c r="BC105" s="20">
        <v>48</v>
      </c>
      <c r="BD105" s="20">
        <v>2</v>
      </c>
      <c r="BE105" s="20">
        <v>33</v>
      </c>
      <c r="BF105" s="20"/>
      <c r="BG105" s="20"/>
      <c r="BH105" s="20">
        <v>3</v>
      </c>
      <c r="BI105" s="20"/>
      <c r="BJ105" s="20"/>
      <c r="BK105" s="20"/>
      <c r="BL105" s="20">
        <v>63.1</v>
      </c>
      <c r="BM105" s="20">
        <v>17.8</v>
      </c>
      <c r="BN105" s="20">
        <f>48-34</f>
        <v>14</v>
      </c>
      <c r="BO105" s="20">
        <v>16</v>
      </c>
      <c r="BP105" s="20">
        <v>25</v>
      </c>
      <c r="BQ105" s="20"/>
      <c r="BR105" s="20">
        <v>15</v>
      </c>
      <c r="BS105" s="20"/>
      <c r="BT105" s="20">
        <v>23</v>
      </c>
      <c r="BU105" s="20">
        <v>19</v>
      </c>
      <c r="BV105" s="20"/>
      <c r="BW105" s="20">
        <v>11</v>
      </c>
      <c r="BX105" s="20">
        <v>6</v>
      </c>
      <c r="BY105" s="20"/>
      <c r="BZ105" s="20"/>
      <c r="CA105" s="20"/>
      <c r="CB105" s="20"/>
      <c r="CC105" s="20"/>
      <c r="CD105" s="20"/>
      <c r="CE105" s="20"/>
      <c r="CF105" s="20"/>
      <c r="CG105" s="20"/>
      <c r="CH105" s="20">
        <v>3</v>
      </c>
      <c r="CI105" s="26"/>
      <c r="CJ105" s="26"/>
      <c r="CK105" s="26"/>
      <c r="CL105" s="26"/>
      <c r="CM105" s="26"/>
      <c r="CN105" s="26"/>
      <c r="CO105" s="9"/>
    </row>
    <row r="106" spans="1:93" s="8" customFormat="1">
      <c r="A106" s="27">
        <v>83</v>
      </c>
      <c r="B106" s="15">
        <f t="shared" si="10"/>
        <v>83</v>
      </c>
      <c r="C106" s="5" t="s">
        <v>357</v>
      </c>
      <c r="D106" s="5" t="s">
        <v>251</v>
      </c>
      <c r="E106" s="5" t="str">
        <f t="shared" si="6"/>
        <v>Wei, 2020</v>
      </c>
      <c r="F106" s="7">
        <v>2020</v>
      </c>
      <c r="G106" s="7" t="s">
        <v>95</v>
      </c>
      <c r="H106" s="10" t="s">
        <v>68</v>
      </c>
      <c r="I106" s="10" t="s">
        <v>96</v>
      </c>
      <c r="J106" s="10" t="s">
        <v>365</v>
      </c>
      <c r="K106" s="10" t="s">
        <v>668</v>
      </c>
      <c r="L106" s="10" t="s">
        <v>107</v>
      </c>
      <c r="M106" s="10" t="s">
        <v>642</v>
      </c>
      <c r="N106" s="10"/>
      <c r="O106" s="10" t="s">
        <v>45</v>
      </c>
      <c r="P106" s="10" t="s">
        <v>41</v>
      </c>
      <c r="Q106" s="7" t="s">
        <v>30</v>
      </c>
      <c r="R106" s="15" t="s">
        <v>32</v>
      </c>
      <c r="S106" s="7" t="s">
        <v>429</v>
      </c>
      <c r="T106" s="15" t="s">
        <v>777</v>
      </c>
      <c r="U106" s="7" t="s">
        <v>778</v>
      </c>
      <c r="V106" s="88">
        <v>81</v>
      </c>
      <c r="W106" s="14">
        <v>23</v>
      </c>
      <c r="X106" s="14">
        <v>14</v>
      </c>
      <c r="Y106" s="14"/>
      <c r="Z106" s="14"/>
      <c r="AA106" s="14">
        <v>36</v>
      </c>
      <c r="AB106" s="14"/>
      <c r="AC106" s="14"/>
      <c r="AD106" s="14"/>
      <c r="AE106" s="14"/>
      <c r="AF106" s="14">
        <v>49.9</v>
      </c>
      <c r="AG106" s="14">
        <v>15.1</v>
      </c>
      <c r="AH106" s="14">
        <v>10</v>
      </c>
      <c r="AI106" s="14"/>
      <c r="AJ106" s="14"/>
      <c r="AK106" s="14">
        <v>0</v>
      </c>
      <c r="AL106" s="14"/>
      <c r="AM106" s="14"/>
      <c r="AN106" s="14"/>
      <c r="AO106" s="14"/>
      <c r="AP106" s="14"/>
      <c r="AQ106" s="14"/>
      <c r="AR106" s="14"/>
      <c r="AS106" s="14">
        <v>23</v>
      </c>
      <c r="AT106" s="14">
        <v>16</v>
      </c>
      <c r="AU106" s="14"/>
      <c r="AV106" s="14"/>
      <c r="AW106" s="14">
        <v>17</v>
      </c>
      <c r="AX106" s="14">
        <v>3</v>
      </c>
      <c r="AY106" s="14"/>
      <c r="AZ106" s="14"/>
      <c r="BA106" s="14"/>
      <c r="BB106" s="14"/>
      <c r="BC106" s="20">
        <v>58</v>
      </c>
      <c r="BD106" s="20">
        <v>10</v>
      </c>
      <c r="BE106" s="20"/>
      <c r="BF106" s="20"/>
      <c r="BG106" s="20">
        <v>15.5</v>
      </c>
      <c r="BH106" s="20"/>
      <c r="BI106" s="20"/>
      <c r="BJ106" s="20"/>
      <c r="BK106" s="20"/>
      <c r="BL106" s="20">
        <v>50.5</v>
      </c>
      <c r="BM106" s="20">
        <v>17.899999999999999</v>
      </c>
      <c r="BN106" s="20">
        <v>17</v>
      </c>
      <c r="BO106" s="20"/>
      <c r="BP106" s="20"/>
      <c r="BQ106" s="20">
        <v>0</v>
      </c>
      <c r="BR106" s="20"/>
      <c r="BS106" s="20"/>
      <c r="BT106" s="20"/>
      <c r="BU106" s="20"/>
      <c r="BV106" s="20"/>
      <c r="BW106" s="20"/>
      <c r="BX106" s="20"/>
      <c r="BY106" s="20">
        <v>58</v>
      </c>
      <c r="BZ106" s="20">
        <v>31</v>
      </c>
      <c r="CA106" s="20"/>
      <c r="CB106" s="20"/>
      <c r="CC106" s="20">
        <v>37</v>
      </c>
      <c r="CD106" s="20">
        <v>13</v>
      </c>
      <c r="CE106" s="20"/>
      <c r="CF106" s="20"/>
      <c r="CG106" s="20"/>
      <c r="CH106" s="20"/>
      <c r="CI106" s="26"/>
      <c r="CJ106" s="26"/>
      <c r="CK106" s="26"/>
      <c r="CL106" s="26">
        <v>5.4269999999999996</v>
      </c>
      <c r="CM106" s="26">
        <v>20.016999999999999</v>
      </c>
      <c r="CN106" s="26">
        <v>1.4710000000000001</v>
      </c>
      <c r="CO106" s="9"/>
    </row>
    <row r="107" spans="1:93" s="8" customFormat="1">
      <c r="A107" s="27">
        <v>84</v>
      </c>
      <c r="B107" s="130" t="s">
        <v>1021</v>
      </c>
      <c r="C107" s="5" t="s">
        <v>963</v>
      </c>
      <c r="D107" s="5" t="s">
        <v>964</v>
      </c>
      <c r="E107" s="5" t="str">
        <f t="shared" ref="E107:E108" si="11">+CONCATENATE(LEFT(D107,FIND(" ",D107,1)),F107)</f>
        <v>Wu 2021</v>
      </c>
      <c r="F107" s="7">
        <v>2021</v>
      </c>
      <c r="G107" s="7" t="s">
        <v>95</v>
      </c>
      <c r="H107" s="10" t="s">
        <v>68</v>
      </c>
      <c r="I107" s="10" t="s">
        <v>96</v>
      </c>
      <c r="J107" s="10" t="s">
        <v>1037</v>
      </c>
      <c r="K107" s="10" t="s">
        <v>1038</v>
      </c>
      <c r="L107" s="10" t="s">
        <v>97</v>
      </c>
      <c r="M107" s="10" t="s">
        <v>176</v>
      </c>
      <c r="N107" s="10"/>
      <c r="O107" s="10" t="s">
        <v>45</v>
      </c>
      <c r="P107" s="10" t="s">
        <v>41</v>
      </c>
      <c r="Q107" s="7" t="s">
        <v>30</v>
      </c>
      <c r="R107" s="15" t="s">
        <v>32</v>
      </c>
      <c r="S107" s="7" t="s">
        <v>429</v>
      </c>
      <c r="T107" s="15" t="s">
        <v>779</v>
      </c>
      <c r="U107" s="7" t="s">
        <v>780</v>
      </c>
      <c r="V107" s="88">
        <f>+W107+BC107</f>
        <v>79</v>
      </c>
      <c r="W107" s="14">
        <v>24</v>
      </c>
      <c r="X107" s="14">
        <v>10</v>
      </c>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20">
        <f>79-24</f>
        <v>55</v>
      </c>
      <c r="BD107" s="20">
        <v>12</v>
      </c>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6"/>
      <c r="CJ107" s="26"/>
      <c r="CK107" s="26"/>
      <c r="CL107" s="26"/>
      <c r="CM107" s="26"/>
      <c r="CN107" s="26"/>
      <c r="CO107" s="9"/>
    </row>
    <row r="108" spans="1:93" s="8" customFormat="1">
      <c r="A108" s="27">
        <v>84</v>
      </c>
      <c r="B108" s="130" t="s">
        <v>1022</v>
      </c>
      <c r="C108" s="5" t="s">
        <v>963</v>
      </c>
      <c r="D108" s="5" t="s">
        <v>964</v>
      </c>
      <c r="E108" s="5" t="str">
        <f t="shared" si="11"/>
        <v>Wu 2021</v>
      </c>
      <c r="F108" s="7">
        <v>2021</v>
      </c>
      <c r="G108" s="7" t="s">
        <v>95</v>
      </c>
      <c r="H108" s="10" t="s">
        <v>68</v>
      </c>
      <c r="I108" s="10" t="s">
        <v>96</v>
      </c>
      <c r="J108" s="10" t="s">
        <v>1037</v>
      </c>
      <c r="K108" s="10" t="s">
        <v>1038</v>
      </c>
      <c r="L108" s="10" t="s">
        <v>97</v>
      </c>
      <c r="M108" s="10" t="s">
        <v>176</v>
      </c>
      <c r="N108" s="10"/>
      <c r="O108" s="10"/>
      <c r="P108" s="10"/>
      <c r="Q108" s="7" t="s">
        <v>30</v>
      </c>
      <c r="R108" s="15" t="s">
        <v>32</v>
      </c>
      <c r="S108" s="7" t="s">
        <v>443</v>
      </c>
      <c r="T108" s="15" t="s">
        <v>765</v>
      </c>
      <c r="U108" s="7" t="s">
        <v>766</v>
      </c>
      <c r="V108" s="88">
        <f t="shared" ref="V108:V109" si="12">+W108+BC108</f>
        <v>79</v>
      </c>
      <c r="W108" s="14">
        <v>24</v>
      </c>
      <c r="X108" s="14">
        <v>9</v>
      </c>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20">
        <f>79-24</f>
        <v>55</v>
      </c>
      <c r="BD108" s="20">
        <f>24-9</f>
        <v>15</v>
      </c>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6"/>
      <c r="CJ108" s="26"/>
      <c r="CK108" s="26"/>
      <c r="CL108" s="26"/>
      <c r="CM108" s="26"/>
      <c r="CN108" s="26"/>
      <c r="CO108" s="9"/>
    </row>
    <row r="109" spans="1:93" s="8" customFormat="1">
      <c r="A109" s="27">
        <v>84</v>
      </c>
      <c r="B109" s="130" t="s">
        <v>1023</v>
      </c>
      <c r="C109" s="5" t="s">
        <v>963</v>
      </c>
      <c r="D109" s="5" t="s">
        <v>964</v>
      </c>
      <c r="E109" s="5" t="str">
        <f t="shared" si="6"/>
        <v>Wu 2021</v>
      </c>
      <c r="F109" s="7">
        <v>2021</v>
      </c>
      <c r="G109" s="7" t="s">
        <v>95</v>
      </c>
      <c r="H109" s="10" t="s">
        <v>68</v>
      </c>
      <c r="I109" s="10" t="s">
        <v>96</v>
      </c>
      <c r="J109" s="10" t="s">
        <v>1037</v>
      </c>
      <c r="K109" s="10" t="s">
        <v>1038</v>
      </c>
      <c r="L109" s="10" t="s">
        <v>97</v>
      </c>
      <c r="M109" s="10" t="s">
        <v>176</v>
      </c>
      <c r="N109" s="10"/>
      <c r="O109" s="10" t="s">
        <v>56</v>
      </c>
      <c r="P109" s="10" t="s">
        <v>56</v>
      </c>
      <c r="Q109" s="7" t="s">
        <v>30</v>
      </c>
      <c r="R109" s="15" t="s">
        <v>32</v>
      </c>
      <c r="S109" s="7" t="s">
        <v>434</v>
      </c>
      <c r="T109" s="15" t="s">
        <v>434</v>
      </c>
      <c r="U109" s="7" t="s">
        <v>770</v>
      </c>
      <c r="V109" s="88">
        <f t="shared" si="12"/>
        <v>79</v>
      </c>
      <c r="W109" s="14">
        <v>36</v>
      </c>
      <c r="X109" s="14">
        <v>12</v>
      </c>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20">
        <f>79-36</f>
        <v>43</v>
      </c>
      <c r="BD109" s="20">
        <v>12</v>
      </c>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6"/>
      <c r="CJ109" s="26"/>
      <c r="CK109" s="26"/>
      <c r="CL109" s="26"/>
      <c r="CM109" s="26"/>
      <c r="CN109" s="26"/>
      <c r="CO109" s="9"/>
    </row>
    <row r="110" spans="1:93" s="8" customFormat="1">
      <c r="A110" s="27">
        <v>85</v>
      </c>
      <c r="B110" s="15">
        <f t="shared" si="10"/>
        <v>85</v>
      </c>
      <c r="C110" s="5" t="s">
        <v>252</v>
      </c>
      <c r="D110" s="5" t="s">
        <v>253</v>
      </c>
      <c r="E110" s="5" t="str">
        <f t="shared" si="6"/>
        <v>Xiao, 2018</v>
      </c>
      <c r="F110" s="7">
        <v>2018</v>
      </c>
      <c r="G110" s="7" t="s">
        <v>95</v>
      </c>
      <c r="H110" s="10" t="s">
        <v>68</v>
      </c>
      <c r="I110" s="10" t="s">
        <v>96</v>
      </c>
      <c r="J110" s="10" t="s">
        <v>358</v>
      </c>
      <c r="K110" s="10" t="s">
        <v>507</v>
      </c>
      <c r="L110" s="10" t="s">
        <v>97</v>
      </c>
      <c r="M110" s="10" t="s">
        <v>176</v>
      </c>
      <c r="N110" s="10" t="s">
        <v>418</v>
      </c>
      <c r="O110" s="10" t="s">
        <v>45</v>
      </c>
      <c r="P110" s="10" t="s">
        <v>41</v>
      </c>
      <c r="Q110" s="7" t="s">
        <v>30</v>
      </c>
      <c r="R110" s="15" t="s">
        <v>32</v>
      </c>
      <c r="S110" s="7" t="s">
        <v>429</v>
      </c>
      <c r="T110" s="15" t="s">
        <v>779</v>
      </c>
      <c r="U110" s="7" t="s">
        <v>780</v>
      </c>
      <c r="V110" s="88">
        <f>+W110+293</f>
        <v>428</v>
      </c>
      <c r="W110" s="14">
        <v>135</v>
      </c>
      <c r="X110" s="14">
        <v>52</v>
      </c>
      <c r="Y110" s="14"/>
      <c r="Z110" s="14"/>
      <c r="AA110" s="14">
        <v>16</v>
      </c>
      <c r="AB110" s="14"/>
      <c r="AC110" s="14"/>
      <c r="AD110" s="14"/>
      <c r="AE110" s="14"/>
      <c r="AF110" s="14">
        <v>59.1</v>
      </c>
      <c r="AG110" s="14">
        <v>15.4</v>
      </c>
      <c r="AH110" s="14">
        <v>34</v>
      </c>
      <c r="AI110" s="14">
        <v>65</v>
      </c>
      <c r="AJ110" s="14">
        <v>92</v>
      </c>
      <c r="AK110" s="14">
        <v>0</v>
      </c>
      <c r="AL110" s="14"/>
      <c r="AM110" s="14"/>
      <c r="AN110" s="14"/>
      <c r="AO110" s="14">
        <v>13</v>
      </c>
      <c r="AP110" s="14"/>
      <c r="AQ110" s="14"/>
      <c r="AR110" s="14">
        <v>51</v>
      </c>
      <c r="AS110" s="14"/>
      <c r="AT110" s="14"/>
      <c r="AU110" s="14"/>
      <c r="AV110" s="14">
        <v>1</v>
      </c>
      <c r="AW110" s="14">
        <v>67</v>
      </c>
      <c r="AX110" s="14">
        <v>15</v>
      </c>
      <c r="AY110" s="14">
        <v>41</v>
      </c>
      <c r="AZ110" s="14">
        <v>18</v>
      </c>
      <c r="BA110" s="14">
        <v>12.6</v>
      </c>
      <c r="BB110" s="14"/>
      <c r="BC110" s="20">
        <v>293</v>
      </c>
      <c r="BD110" s="20">
        <f>78-52</f>
        <v>26</v>
      </c>
      <c r="BE110" s="20"/>
      <c r="BF110" s="20"/>
      <c r="BG110" s="20">
        <v>4</v>
      </c>
      <c r="BH110" s="20"/>
      <c r="BI110" s="20"/>
      <c r="BJ110" s="20"/>
      <c r="BK110" s="20"/>
      <c r="BL110" s="20">
        <v>58.7</v>
      </c>
      <c r="BM110" s="20">
        <v>16.399999999999999</v>
      </c>
      <c r="BN110" s="20">
        <f>293-198</f>
        <v>95</v>
      </c>
      <c r="BO110" s="20">
        <v>95</v>
      </c>
      <c r="BP110" s="20">
        <v>127</v>
      </c>
      <c r="BQ110" s="20">
        <f>293-253</f>
        <v>40</v>
      </c>
      <c r="BR110" s="20"/>
      <c r="BS110" s="20"/>
      <c r="BT110" s="20"/>
      <c r="BU110" s="20">
        <v>60</v>
      </c>
      <c r="BV110" s="20"/>
      <c r="BW110" s="20"/>
      <c r="BX110" s="20">
        <v>33</v>
      </c>
      <c r="BY110" s="20"/>
      <c r="BZ110" s="20"/>
      <c r="CA110" s="20"/>
      <c r="CB110" s="20">
        <v>6</v>
      </c>
      <c r="CC110" s="20">
        <v>69</v>
      </c>
      <c r="CD110" s="20">
        <f>69+7</f>
        <v>76</v>
      </c>
      <c r="CE110" s="20">
        <v>123</v>
      </c>
      <c r="CF110" s="20">
        <v>16</v>
      </c>
      <c r="CG110" s="20">
        <v>8.9</v>
      </c>
      <c r="CH110" s="20"/>
      <c r="CI110" s="26"/>
      <c r="CJ110" s="26"/>
      <c r="CK110" s="26"/>
      <c r="CL110" s="26">
        <v>2.847</v>
      </c>
      <c r="CM110" s="26">
        <v>6.2270000000000003</v>
      </c>
      <c r="CN110" s="26">
        <v>1.302</v>
      </c>
      <c r="CO110" s="9"/>
    </row>
    <row r="111" spans="1:93" s="8" customFormat="1">
      <c r="A111" s="27">
        <v>86</v>
      </c>
      <c r="B111" s="15">
        <f t="shared" si="10"/>
        <v>86</v>
      </c>
      <c r="C111" s="5" t="s">
        <v>254</v>
      </c>
      <c r="D111" s="5" t="s">
        <v>255</v>
      </c>
      <c r="E111" s="5" t="str">
        <f t="shared" si="6"/>
        <v>Xiao, 2020</v>
      </c>
      <c r="F111" s="7">
        <v>2020</v>
      </c>
      <c r="G111" s="7" t="s">
        <v>95</v>
      </c>
      <c r="H111" s="10" t="s">
        <v>68</v>
      </c>
      <c r="I111" s="10" t="s">
        <v>96</v>
      </c>
      <c r="J111" s="10" t="s">
        <v>359</v>
      </c>
      <c r="K111" s="10" t="s">
        <v>360</v>
      </c>
      <c r="L111" s="10" t="s">
        <v>97</v>
      </c>
      <c r="M111" s="10" t="s">
        <v>176</v>
      </c>
      <c r="N111" s="10" t="s">
        <v>418</v>
      </c>
      <c r="O111" s="10" t="s">
        <v>45</v>
      </c>
      <c r="P111" s="10" t="s">
        <v>41</v>
      </c>
      <c r="Q111" s="7" t="s">
        <v>30</v>
      </c>
      <c r="R111" s="15" t="s">
        <v>32</v>
      </c>
      <c r="S111" s="7" t="s">
        <v>429</v>
      </c>
      <c r="T111" s="15" t="s">
        <v>779</v>
      </c>
      <c r="U111" s="7" t="s">
        <v>780</v>
      </c>
      <c r="V111" s="88">
        <f>+W111+267</f>
        <v>371</v>
      </c>
      <c r="W111" s="14">
        <v>104</v>
      </c>
      <c r="X111" s="14">
        <v>58</v>
      </c>
      <c r="Y111" s="14">
        <v>35</v>
      </c>
      <c r="Z111" s="14"/>
      <c r="AA111" s="14">
        <v>16</v>
      </c>
      <c r="AB111" s="14"/>
      <c r="AC111" s="14"/>
      <c r="AD111" s="14"/>
      <c r="AE111" s="14"/>
      <c r="AF111" s="14">
        <v>61.9</v>
      </c>
      <c r="AG111" s="14">
        <v>15.2</v>
      </c>
      <c r="AH111" s="14">
        <f>104-81</f>
        <v>23</v>
      </c>
      <c r="AI111" s="14">
        <v>41</v>
      </c>
      <c r="AJ111" s="14">
        <v>70</v>
      </c>
      <c r="AK111" s="14">
        <v>0</v>
      </c>
      <c r="AL111" s="14"/>
      <c r="AM111" s="14"/>
      <c r="AN111" s="14"/>
      <c r="AO111" s="14"/>
      <c r="AP111" s="14"/>
      <c r="AQ111" s="14"/>
      <c r="AR111" s="14"/>
      <c r="AS111" s="14"/>
      <c r="AT111" s="14"/>
      <c r="AU111" s="14">
        <v>3</v>
      </c>
      <c r="AV111" s="14">
        <v>1</v>
      </c>
      <c r="AW111" s="14">
        <v>55</v>
      </c>
      <c r="AX111" s="14">
        <v>13</v>
      </c>
      <c r="AY111" s="14">
        <v>20</v>
      </c>
      <c r="AZ111" s="14">
        <v>4</v>
      </c>
      <c r="BA111" s="14">
        <v>13</v>
      </c>
      <c r="BB111" s="14">
        <v>2</v>
      </c>
      <c r="BC111" s="20">
        <v>267</v>
      </c>
      <c r="BD111" s="20">
        <v>37</v>
      </c>
      <c r="BE111" s="20">
        <v>23</v>
      </c>
      <c r="BF111" s="20"/>
      <c r="BG111" s="20">
        <v>4</v>
      </c>
      <c r="BH111" s="20"/>
      <c r="BI111" s="20"/>
      <c r="BJ111" s="20"/>
      <c r="BK111" s="20"/>
      <c r="BL111" s="20">
        <v>59.5</v>
      </c>
      <c r="BM111" s="20">
        <v>16.600000000000001</v>
      </c>
      <c r="BN111" s="20">
        <f>267-181</f>
        <v>86</v>
      </c>
      <c r="BO111" s="20">
        <v>82</v>
      </c>
      <c r="BP111" s="20">
        <v>118</v>
      </c>
      <c r="BQ111" s="20">
        <f>267-231</f>
        <v>36</v>
      </c>
      <c r="BR111" s="20"/>
      <c r="BS111" s="20"/>
      <c r="BT111" s="20"/>
      <c r="BU111" s="20"/>
      <c r="BV111" s="20"/>
      <c r="BW111" s="20"/>
      <c r="BX111" s="20"/>
      <c r="BY111" s="20"/>
      <c r="BZ111" s="20"/>
      <c r="CA111" s="20">
        <v>1</v>
      </c>
      <c r="CB111" s="20">
        <v>5</v>
      </c>
      <c r="CC111" s="20">
        <v>63</v>
      </c>
      <c r="CD111" s="20">
        <f>56+7</f>
        <v>63</v>
      </c>
      <c r="CE111" s="20">
        <v>120</v>
      </c>
      <c r="CF111" s="20">
        <v>3</v>
      </c>
      <c r="CG111" s="20">
        <v>8</v>
      </c>
      <c r="CH111" s="20">
        <v>2</v>
      </c>
      <c r="CI111" s="26"/>
      <c r="CJ111" s="26"/>
      <c r="CK111" s="26"/>
      <c r="CL111" s="26">
        <v>2.7770000000000001</v>
      </c>
      <c r="CM111" s="26">
        <v>6.21</v>
      </c>
      <c r="CN111" s="26">
        <v>1.2410000000000001</v>
      </c>
      <c r="CO111" s="9"/>
    </row>
    <row r="112" spans="1:93" s="8" customFormat="1">
      <c r="A112" s="27">
        <v>87</v>
      </c>
      <c r="B112" s="15">
        <f t="shared" si="10"/>
        <v>87</v>
      </c>
      <c r="C112" s="5" t="s">
        <v>256</v>
      </c>
      <c r="D112" s="5" t="s">
        <v>257</v>
      </c>
      <c r="E112" s="5" t="str">
        <f t="shared" si="6"/>
        <v>Xie, 2018</v>
      </c>
      <c r="F112" s="7">
        <v>2018</v>
      </c>
      <c r="G112" s="7" t="s">
        <v>95</v>
      </c>
      <c r="H112" s="10" t="s">
        <v>68</v>
      </c>
      <c r="I112" s="10" t="s">
        <v>96</v>
      </c>
      <c r="J112" s="10" t="s">
        <v>362</v>
      </c>
      <c r="K112" s="10" t="s">
        <v>361</v>
      </c>
      <c r="L112" s="10" t="s">
        <v>508</v>
      </c>
      <c r="M112" s="10" t="s">
        <v>408</v>
      </c>
      <c r="N112" s="10" t="s">
        <v>509</v>
      </c>
      <c r="O112" s="10" t="s">
        <v>661</v>
      </c>
      <c r="P112" s="10" t="s">
        <v>56</v>
      </c>
      <c r="Q112" s="7" t="s">
        <v>30</v>
      </c>
      <c r="R112" s="15" t="s">
        <v>32</v>
      </c>
      <c r="S112" s="7" t="s">
        <v>434</v>
      </c>
      <c r="T112" s="15" t="s">
        <v>434</v>
      </c>
      <c r="U112" s="7" t="s">
        <v>770</v>
      </c>
      <c r="V112" s="88">
        <f>322+W112</f>
        <v>508</v>
      </c>
      <c r="W112" s="14">
        <v>186</v>
      </c>
      <c r="X112" s="14">
        <v>59</v>
      </c>
      <c r="Y112" s="14"/>
      <c r="Z112" s="14"/>
      <c r="AA112" s="14"/>
      <c r="AB112" s="14">
        <v>42</v>
      </c>
      <c r="AC112" s="14"/>
      <c r="AD112" s="14"/>
      <c r="AE112" s="14"/>
      <c r="AF112" s="14">
        <v>52.31</v>
      </c>
      <c r="AG112" s="14">
        <v>11.55</v>
      </c>
      <c r="AH112" s="14">
        <v>52</v>
      </c>
      <c r="AI112" s="14"/>
      <c r="AJ112" s="14"/>
      <c r="AK112" s="14">
        <v>71</v>
      </c>
      <c r="AL112" s="14"/>
      <c r="AM112" s="14"/>
      <c r="AN112" s="14"/>
      <c r="AO112" s="14"/>
      <c r="AP112" s="14"/>
      <c r="AQ112" s="14"/>
      <c r="AR112" s="14"/>
      <c r="AS112" s="14"/>
      <c r="AT112" s="14"/>
      <c r="AU112" s="14"/>
      <c r="AV112" s="14"/>
      <c r="AW112" s="14"/>
      <c r="AX112" s="14"/>
      <c r="AY112" s="14"/>
      <c r="AZ112" s="14"/>
      <c r="BA112" s="14"/>
      <c r="BB112" s="14"/>
      <c r="BC112" s="20">
        <v>322</v>
      </c>
      <c r="BD112" s="20">
        <v>72</v>
      </c>
      <c r="BE112" s="20"/>
      <c r="BF112" s="20"/>
      <c r="BG112" s="20"/>
      <c r="BH112" s="20">
        <v>40</v>
      </c>
      <c r="BI112" s="20"/>
      <c r="BJ112" s="20"/>
      <c r="BK112" s="20"/>
      <c r="BL112" s="20">
        <v>50.19</v>
      </c>
      <c r="BM112" s="20">
        <v>11.36</v>
      </c>
      <c r="BN112" s="20">
        <v>37</v>
      </c>
      <c r="BO112" s="20"/>
      <c r="BP112" s="20"/>
      <c r="BQ112" s="20">
        <v>138</v>
      </c>
      <c r="BR112" s="20"/>
      <c r="BS112" s="20"/>
      <c r="BT112" s="20"/>
      <c r="BU112" s="20"/>
      <c r="BV112" s="20"/>
      <c r="BW112" s="20"/>
      <c r="BX112" s="20"/>
      <c r="BY112" s="20"/>
      <c r="BZ112" s="20"/>
      <c r="CA112" s="20"/>
      <c r="CB112" s="20"/>
      <c r="CC112" s="20"/>
      <c r="CD112" s="20"/>
      <c r="CE112" s="20"/>
      <c r="CF112" s="20"/>
      <c r="CG112" s="20"/>
      <c r="CH112" s="20"/>
      <c r="CI112" s="26">
        <v>1.5389999999999999</v>
      </c>
      <c r="CJ112" s="26">
        <v>2.1720000000000002</v>
      </c>
      <c r="CK112" s="26">
        <v>1.091</v>
      </c>
      <c r="CL112" s="26"/>
      <c r="CM112" s="26"/>
      <c r="CN112" s="26"/>
      <c r="CO112" s="9"/>
    </row>
    <row r="113" spans="1:93" s="8" customFormat="1">
      <c r="A113" s="27">
        <v>88</v>
      </c>
      <c r="B113" s="15">
        <f t="shared" si="10"/>
        <v>88</v>
      </c>
      <c r="C113" s="5" t="s">
        <v>258</v>
      </c>
      <c r="D113" s="5" t="s">
        <v>259</v>
      </c>
      <c r="E113" s="5" t="str">
        <f t="shared" si="6"/>
        <v>Xu, 2015</v>
      </c>
      <c r="F113" s="7">
        <v>2015</v>
      </c>
      <c r="G113" s="7" t="s">
        <v>95</v>
      </c>
      <c r="H113" s="10" t="s">
        <v>68</v>
      </c>
      <c r="I113" s="10" t="s">
        <v>96</v>
      </c>
      <c r="J113" s="10" t="s">
        <v>365</v>
      </c>
      <c r="K113" s="10" t="s">
        <v>669</v>
      </c>
      <c r="L113" s="10" t="s">
        <v>164</v>
      </c>
      <c r="M113" s="10" t="s">
        <v>164</v>
      </c>
      <c r="N113" s="10" t="s">
        <v>50</v>
      </c>
      <c r="O113" s="10" t="s">
        <v>46</v>
      </c>
      <c r="P113" s="10" t="s">
        <v>59</v>
      </c>
      <c r="Q113" s="7" t="s">
        <v>51</v>
      </c>
      <c r="R113" s="15" t="s">
        <v>52</v>
      </c>
      <c r="S113" s="7" t="s">
        <v>429</v>
      </c>
      <c r="T113" s="15" t="s">
        <v>768</v>
      </c>
      <c r="U113" s="7" t="s">
        <v>769</v>
      </c>
      <c r="V113" s="88">
        <v>85</v>
      </c>
      <c r="W113" s="14">
        <v>31</v>
      </c>
      <c r="X113" s="14"/>
      <c r="Y113" s="14"/>
      <c r="Z113" s="14"/>
      <c r="AA113" s="14">
        <v>25</v>
      </c>
      <c r="AB113" s="14">
        <v>21</v>
      </c>
      <c r="AC113" s="14"/>
      <c r="AD113" s="14"/>
      <c r="AE113" s="14"/>
      <c r="AF113" s="14">
        <v>51.5</v>
      </c>
      <c r="AG113" s="14"/>
      <c r="AH113" s="14">
        <v>11</v>
      </c>
      <c r="AI113" s="14">
        <v>2</v>
      </c>
      <c r="AJ113" s="14"/>
      <c r="AK113" s="14">
        <v>0</v>
      </c>
      <c r="AL113" s="14">
        <v>4</v>
      </c>
      <c r="AM113" s="14"/>
      <c r="AN113" s="14"/>
      <c r="AO113" s="14"/>
      <c r="AP113" s="14"/>
      <c r="AQ113" s="14">
        <v>2</v>
      </c>
      <c r="AR113" s="14"/>
      <c r="AS113" s="14">
        <v>2</v>
      </c>
      <c r="AT113" s="14"/>
      <c r="AU113" s="14"/>
      <c r="AV113" s="14">
        <v>5</v>
      </c>
      <c r="AW113" s="14"/>
      <c r="AX113" s="14"/>
      <c r="AY113" s="14">
        <v>2</v>
      </c>
      <c r="AZ113" s="14"/>
      <c r="BA113" s="14"/>
      <c r="BB113" s="14"/>
      <c r="BC113" s="20">
        <v>54</v>
      </c>
      <c r="BD113" s="20"/>
      <c r="BE113" s="20"/>
      <c r="BF113" s="20"/>
      <c r="BG113" s="20">
        <v>12.5</v>
      </c>
      <c r="BH113" s="20">
        <v>24</v>
      </c>
      <c r="BI113" s="20"/>
      <c r="BJ113" s="20"/>
      <c r="BK113" s="20"/>
      <c r="BL113" s="20">
        <v>64</v>
      </c>
      <c r="BM113" s="20"/>
      <c r="BN113" s="20">
        <v>16</v>
      </c>
      <c r="BO113" s="20">
        <v>4</v>
      </c>
      <c r="BP113" s="20"/>
      <c r="BQ113" s="20">
        <v>0</v>
      </c>
      <c r="BR113" s="20">
        <v>3</v>
      </c>
      <c r="BS113" s="20"/>
      <c r="BT113" s="20"/>
      <c r="BU113" s="20"/>
      <c r="BV113" s="20"/>
      <c r="BW113" s="20">
        <v>3</v>
      </c>
      <c r="BX113" s="20"/>
      <c r="BY113" s="20"/>
      <c r="BZ113" s="20"/>
      <c r="CA113" s="20"/>
      <c r="CB113" s="20">
        <v>7</v>
      </c>
      <c r="CC113" s="20"/>
      <c r="CD113" s="20"/>
      <c r="CE113" s="20">
        <v>3</v>
      </c>
      <c r="CF113" s="20"/>
      <c r="CG113" s="20"/>
      <c r="CH113" s="20"/>
      <c r="CI113" s="26"/>
      <c r="CJ113" s="26"/>
      <c r="CK113" s="26"/>
      <c r="CL113" s="26"/>
      <c r="CM113" s="26"/>
      <c r="CN113" s="26"/>
      <c r="CO113" s="9"/>
    </row>
    <row r="114" spans="1:93" s="8" customFormat="1">
      <c r="A114" s="27">
        <v>89</v>
      </c>
      <c r="B114" s="15">
        <f t="shared" si="10"/>
        <v>89</v>
      </c>
      <c r="C114" s="5" t="s">
        <v>260</v>
      </c>
      <c r="D114" s="5" t="s">
        <v>261</v>
      </c>
      <c r="E114" s="5" t="str">
        <f t="shared" si="6"/>
        <v>Yang, 2018</v>
      </c>
      <c r="F114" s="7">
        <v>2018</v>
      </c>
      <c r="G114" s="7" t="s">
        <v>95</v>
      </c>
      <c r="H114" s="10" t="s">
        <v>68</v>
      </c>
      <c r="I114" s="10" t="s">
        <v>96</v>
      </c>
      <c r="J114" s="10" t="s">
        <v>363</v>
      </c>
      <c r="K114" s="10" t="s">
        <v>364</v>
      </c>
      <c r="L114" s="6" t="s">
        <v>36</v>
      </c>
      <c r="M114" s="6" t="s">
        <v>675</v>
      </c>
      <c r="N114" s="10" t="s">
        <v>458</v>
      </c>
      <c r="O114" s="10" t="s">
        <v>45</v>
      </c>
      <c r="P114" s="10" t="s">
        <v>41</v>
      </c>
      <c r="Q114" s="7" t="s">
        <v>30</v>
      </c>
      <c r="R114" s="15" t="s">
        <v>32</v>
      </c>
      <c r="S114" s="7" t="s">
        <v>429</v>
      </c>
      <c r="T114" s="15" t="s">
        <v>781</v>
      </c>
      <c r="U114" s="7" t="s">
        <v>782</v>
      </c>
      <c r="V114" s="88">
        <f>93+25</f>
        <v>118</v>
      </c>
      <c r="W114" s="14">
        <f>60+24</f>
        <v>84</v>
      </c>
      <c r="X114" s="14">
        <v>23</v>
      </c>
      <c r="Y114" s="14"/>
      <c r="Z114" s="14"/>
      <c r="AA114" s="14"/>
      <c r="AB114" s="14">
        <v>55</v>
      </c>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20">
        <f>+V114-W114</f>
        <v>34</v>
      </c>
      <c r="BD114" s="20">
        <v>2</v>
      </c>
      <c r="BE114" s="20"/>
      <c r="BF114" s="20"/>
      <c r="BG114" s="20"/>
      <c r="BH114" s="20">
        <v>6</v>
      </c>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6">
        <v>13.2</v>
      </c>
      <c r="CJ114" s="26">
        <v>102.17</v>
      </c>
      <c r="CK114" s="26">
        <v>1.71</v>
      </c>
      <c r="CL114" s="26"/>
      <c r="CM114" s="26"/>
      <c r="CN114" s="26"/>
      <c r="CO114" s="9"/>
    </row>
    <row r="115" spans="1:93" s="8" customFormat="1">
      <c r="A115" s="27">
        <v>90</v>
      </c>
      <c r="B115" s="15">
        <f t="shared" si="10"/>
        <v>90</v>
      </c>
      <c r="C115" s="5" t="s">
        <v>965</v>
      </c>
      <c r="D115" s="5" t="s">
        <v>1056</v>
      </c>
      <c r="E115" s="5" t="str">
        <f t="shared" si="6"/>
        <v>Yang, 2021</v>
      </c>
      <c r="F115" s="7">
        <v>2021</v>
      </c>
      <c r="G115" s="7" t="s">
        <v>95</v>
      </c>
      <c r="H115" s="10" t="s">
        <v>68</v>
      </c>
      <c r="I115" s="10" t="s">
        <v>96</v>
      </c>
      <c r="J115" s="10" t="s">
        <v>1039</v>
      </c>
      <c r="K115" s="10" t="s">
        <v>1040</v>
      </c>
      <c r="L115" s="6" t="s">
        <v>107</v>
      </c>
      <c r="M115" s="6" t="s">
        <v>642</v>
      </c>
      <c r="N115" s="10"/>
      <c r="O115" s="10" t="s">
        <v>45</v>
      </c>
      <c r="P115" s="10" t="s">
        <v>41</v>
      </c>
      <c r="Q115" s="7" t="s">
        <v>30</v>
      </c>
      <c r="R115" s="15" t="s">
        <v>32</v>
      </c>
      <c r="S115" s="7" t="s">
        <v>429</v>
      </c>
      <c r="T115" s="15" t="s">
        <v>777</v>
      </c>
      <c r="U115" s="7" t="s">
        <v>778</v>
      </c>
      <c r="V115" s="88">
        <f>155+65</f>
        <v>220</v>
      </c>
      <c r="W115" s="14">
        <v>65</v>
      </c>
      <c r="X115" s="14">
        <v>17</v>
      </c>
      <c r="Y115" s="14">
        <v>38</v>
      </c>
      <c r="Z115" s="14"/>
      <c r="AA115" s="14">
        <v>14</v>
      </c>
      <c r="AB115" s="14">
        <v>34</v>
      </c>
      <c r="AC115" s="14"/>
      <c r="AD115" s="14" t="s">
        <v>1031</v>
      </c>
      <c r="AE115" s="14"/>
      <c r="AF115" s="14">
        <v>62</v>
      </c>
      <c r="AG115" s="14"/>
      <c r="AH115" s="14">
        <f>65-43</f>
        <v>22</v>
      </c>
      <c r="AI115" s="14"/>
      <c r="AJ115" s="14"/>
      <c r="AK115" s="14"/>
      <c r="AL115" s="14"/>
      <c r="AM115" s="14"/>
      <c r="AN115" s="14"/>
      <c r="AO115" s="14"/>
      <c r="AP115" s="14"/>
      <c r="AQ115" s="14"/>
      <c r="AR115" s="14"/>
      <c r="AS115" s="14"/>
      <c r="AT115" s="14"/>
      <c r="AU115" s="14"/>
      <c r="AV115" s="14"/>
      <c r="AW115" s="14"/>
      <c r="AX115" s="14"/>
      <c r="AY115" s="14"/>
      <c r="AZ115" s="14"/>
      <c r="BA115" s="14"/>
      <c r="BB115" s="14"/>
      <c r="BC115" s="20">
        <v>155</v>
      </c>
      <c r="BD115" s="20">
        <v>29</v>
      </c>
      <c r="BE115" s="20">
        <v>24</v>
      </c>
      <c r="BF115" s="20"/>
      <c r="BG115" s="20">
        <v>13</v>
      </c>
      <c r="BH115" s="20">
        <v>46</v>
      </c>
      <c r="BI115" s="20"/>
      <c r="BJ115" s="20" t="s">
        <v>1032</v>
      </c>
      <c r="BK115" s="20"/>
      <c r="BL115" s="20">
        <v>59</v>
      </c>
      <c r="BM115" s="20">
        <f>155-105</f>
        <v>50</v>
      </c>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6"/>
      <c r="CJ115" s="26"/>
      <c r="CK115" s="26"/>
      <c r="CL115" s="26"/>
      <c r="CM115" s="26"/>
      <c r="CN115" s="26"/>
      <c r="CO115" s="9"/>
    </row>
    <row r="116" spans="1:93" s="8" customFormat="1" ht="16" customHeight="1">
      <c r="A116" s="27">
        <v>91</v>
      </c>
      <c r="B116" s="15">
        <f t="shared" si="10"/>
        <v>91</v>
      </c>
      <c r="C116" s="5" t="s">
        <v>262</v>
      </c>
      <c r="D116" s="5" t="s">
        <v>263</v>
      </c>
      <c r="E116" s="5" t="str">
        <f t="shared" si="6"/>
        <v>Ye, 2014</v>
      </c>
      <c r="F116" s="7">
        <v>2014</v>
      </c>
      <c r="G116" s="7" t="s">
        <v>95</v>
      </c>
      <c r="H116" s="10" t="s">
        <v>68</v>
      </c>
      <c r="I116" s="10" t="s">
        <v>96</v>
      </c>
      <c r="J116" s="10" t="s">
        <v>366</v>
      </c>
      <c r="K116" s="10" t="s">
        <v>367</v>
      </c>
      <c r="L116" s="40" t="s">
        <v>510</v>
      </c>
      <c r="M116" s="40" t="s">
        <v>408</v>
      </c>
      <c r="N116" s="10" t="s">
        <v>659</v>
      </c>
      <c r="O116" s="10" t="s">
        <v>56</v>
      </c>
      <c r="P116" s="10" t="s">
        <v>56</v>
      </c>
      <c r="Q116" s="7" t="s">
        <v>408</v>
      </c>
      <c r="R116" s="15" t="s">
        <v>408</v>
      </c>
      <c r="S116" s="7" t="s">
        <v>429</v>
      </c>
      <c r="T116" s="15" t="s">
        <v>803</v>
      </c>
      <c r="U116" s="7" t="s">
        <v>804</v>
      </c>
      <c r="V116" s="88">
        <v>84</v>
      </c>
      <c r="W116" s="14">
        <v>39</v>
      </c>
      <c r="X116" s="14">
        <v>22</v>
      </c>
      <c r="Y116" s="14"/>
      <c r="Z116" s="14"/>
      <c r="AA116" s="14"/>
      <c r="AB116" s="14"/>
      <c r="AC116" s="14"/>
      <c r="AD116" s="14"/>
      <c r="AE116" s="14"/>
      <c r="AF116" s="14">
        <v>41.3</v>
      </c>
      <c r="AG116" s="14">
        <v>12.6</v>
      </c>
      <c r="AH116" s="14">
        <v>11</v>
      </c>
      <c r="AI116" s="14"/>
      <c r="AJ116" s="14"/>
      <c r="AK116" s="14">
        <v>6</v>
      </c>
      <c r="AL116" s="14"/>
      <c r="AM116" s="14"/>
      <c r="AN116" s="14"/>
      <c r="AO116" s="14"/>
      <c r="AP116" s="14"/>
      <c r="AQ116" s="14"/>
      <c r="AR116" s="14"/>
      <c r="AS116" s="14"/>
      <c r="AT116" s="14"/>
      <c r="AU116" s="14"/>
      <c r="AV116" s="14">
        <v>2</v>
      </c>
      <c r="AW116" s="14">
        <v>18</v>
      </c>
      <c r="AX116" s="14">
        <v>2</v>
      </c>
      <c r="AY116" s="14">
        <v>14</v>
      </c>
      <c r="AZ116" s="14">
        <v>3</v>
      </c>
      <c r="BA116" s="14"/>
      <c r="BB116" s="14"/>
      <c r="BC116" s="20">
        <f>71-39</f>
        <v>32</v>
      </c>
      <c r="BD116" s="20">
        <f>34-22</f>
        <v>12</v>
      </c>
      <c r="BE116" s="20"/>
      <c r="BF116" s="20"/>
      <c r="BG116" s="20"/>
      <c r="BH116" s="20"/>
      <c r="BI116" s="20"/>
      <c r="BJ116" s="20"/>
      <c r="BK116" s="20"/>
      <c r="BL116" s="20">
        <v>43.1</v>
      </c>
      <c r="BM116" s="20">
        <v>13.6</v>
      </c>
      <c r="BN116" s="20">
        <v>9</v>
      </c>
      <c r="BO116" s="20"/>
      <c r="BP116" s="20"/>
      <c r="BQ116" s="20">
        <v>3</v>
      </c>
      <c r="BR116" s="20"/>
      <c r="BS116" s="20"/>
      <c r="BT116" s="20"/>
      <c r="BU116" s="20"/>
      <c r="BV116" s="20"/>
      <c r="BW116" s="20"/>
      <c r="BX116" s="20"/>
      <c r="BY116" s="20"/>
      <c r="BZ116" s="20"/>
      <c r="CA116" s="20"/>
      <c r="CB116" s="20">
        <v>2</v>
      </c>
      <c r="CC116" s="20">
        <v>10</v>
      </c>
      <c r="CD116" s="20">
        <v>9</v>
      </c>
      <c r="CE116" s="20">
        <v>8</v>
      </c>
      <c r="CF116" s="20">
        <v>3</v>
      </c>
      <c r="CG116" s="20"/>
      <c r="CH116" s="20"/>
      <c r="CI116" s="41">
        <f>+EXP(0.109)</f>
        <v>1.1151623503414478</v>
      </c>
      <c r="CJ116" s="26"/>
      <c r="CK116" s="26"/>
      <c r="CL116" s="26"/>
      <c r="CM116" s="26"/>
      <c r="CN116" s="26"/>
      <c r="CO116" s="9"/>
    </row>
    <row r="117" spans="1:93" s="8" customFormat="1">
      <c r="A117" s="27">
        <v>92</v>
      </c>
      <c r="B117" s="15">
        <f t="shared" si="10"/>
        <v>92</v>
      </c>
      <c r="C117" s="5" t="s">
        <v>264</v>
      </c>
      <c r="D117" s="5" t="s">
        <v>265</v>
      </c>
      <c r="E117" s="5" t="str">
        <f t="shared" si="6"/>
        <v>Yilmaz, 2016</v>
      </c>
      <c r="F117" s="7">
        <v>2016</v>
      </c>
      <c r="G117" s="7" t="s">
        <v>73</v>
      </c>
      <c r="H117" s="10" t="s">
        <v>68</v>
      </c>
      <c r="I117" s="10" t="s">
        <v>83</v>
      </c>
      <c r="J117" s="10" t="s">
        <v>368</v>
      </c>
      <c r="K117" s="10" t="s">
        <v>369</v>
      </c>
      <c r="L117" s="10" t="s">
        <v>62</v>
      </c>
      <c r="M117" s="10" t="s">
        <v>643</v>
      </c>
      <c r="N117" s="10" t="s">
        <v>63</v>
      </c>
      <c r="O117" s="5" t="s">
        <v>42</v>
      </c>
      <c r="P117" s="5" t="s">
        <v>41</v>
      </c>
      <c r="Q117" s="7" t="s">
        <v>51</v>
      </c>
      <c r="R117" s="15" t="s">
        <v>52</v>
      </c>
      <c r="S117" s="7" t="s">
        <v>429</v>
      </c>
      <c r="T117" s="15" t="s">
        <v>771</v>
      </c>
      <c r="U117" s="7" t="s">
        <v>772</v>
      </c>
      <c r="V117" s="88">
        <f>216+39</f>
        <v>255</v>
      </c>
      <c r="W117" s="14">
        <f>78+X117</f>
        <v>100</v>
      </c>
      <c r="X117" s="14">
        <v>22</v>
      </c>
      <c r="Y117" s="14"/>
      <c r="Z117" s="14"/>
      <c r="AA117" s="14"/>
      <c r="AB117" s="14"/>
      <c r="AC117" s="14"/>
      <c r="AD117" s="14"/>
      <c r="AE117" s="14"/>
      <c r="AF117" s="14"/>
      <c r="AG117" s="14"/>
      <c r="AH117" s="14"/>
      <c r="AI117" s="14"/>
      <c r="AJ117" s="14"/>
      <c r="AK117" s="14">
        <v>5</v>
      </c>
      <c r="AL117" s="14"/>
      <c r="AM117" s="14"/>
      <c r="AN117" s="14"/>
      <c r="AO117" s="14"/>
      <c r="AP117" s="14"/>
      <c r="AQ117" s="14"/>
      <c r="AR117" s="14"/>
      <c r="AS117" s="14"/>
      <c r="AT117" s="14"/>
      <c r="AU117" s="14"/>
      <c r="AV117" s="14"/>
      <c r="AW117" s="14"/>
      <c r="AX117" s="14"/>
      <c r="AY117" s="14"/>
      <c r="AZ117" s="14"/>
      <c r="BA117" s="14"/>
      <c r="BB117" s="14"/>
      <c r="BC117" s="20">
        <f>138+7</f>
        <v>145</v>
      </c>
      <c r="BD117" s="20">
        <v>7</v>
      </c>
      <c r="BE117" s="20"/>
      <c r="BF117" s="20"/>
      <c r="BG117" s="20"/>
      <c r="BH117" s="20"/>
      <c r="BI117" s="20"/>
      <c r="BJ117" s="20"/>
      <c r="BK117" s="20"/>
      <c r="BL117" s="20"/>
      <c r="BM117" s="20"/>
      <c r="BN117" s="20"/>
      <c r="BO117" s="20"/>
      <c r="BP117" s="20"/>
      <c r="BQ117" s="20">
        <f>155-47</f>
        <v>108</v>
      </c>
      <c r="BR117" s="20"/>
      <c r="BS117" s="20"/>
      <c r="BT117" s="20"/>
      <c r="BU117" s="20"/>
      <c r="BV117" s="20"/>
      <c r="BW117" s="20"/>
      <c r="BX117" s="20"/>
      <c r="BY117" s="20"/>
      <c r="BZ117" s="20"/>
      <c r="CA117" s="20"/>
      <c r="CB117" s="20"/>
      <c r="CC117" s="20"/>
      <c r="CD117" s="20"/>
      <c r="CE117" s="20"/>
      <c r="CF117" s="20"/>
      <c r="CG117" s="20"/>
      <c r="CH117" s="20"/>
      <c r="CI117" s="26"/>
      <c r="CJ117" s="26"/>
      <c r="CK117" s="26"/>
      <c r="CL117" s="26">
        <v>0.99</v>
      </c>
      <c r="CM117" s="26">
        <v>3</v>
      </c>
      <c r="CN117" s="26">
        <v>0.33</v>
      </c>
      <c r="CO117" s="9"/>
    </row>
    <row r="118" spans="1:93" s="8" customFormat="1">
      <c r="A118" s="27">
        <v>93</v>
      </c>
      <c r="B118" s="15">
        <f>+A118</f>
        <v>93</v>
      </c>
      <c r="C118" s="5" t="s">
        <v>266</v>
      </c>
      <c r="D118" s="5" t="s">
        <v>267</v>
      </c>
      <c r="E118" s="5" t="str">
        <f t="shared" si="6"/>
        <v>Yuan, 2020</v>
      </c>
      <c r="F118" s="7">
        <v>2020</v>
      </c>
      <c r="G118" s="7" t="s">
        <v>95</v>
      </c>
      <c r="H118" s="10" t="s">
        <v>68</v>
      </c>
      <c r="I118" s="10" t="s">
        <v>96</v>
      </c>
      <c r="J118" s="10" t="s">
        <v>370</v>
      </c>
      <c r="K118" s="10" t="s">
        <v>371</v>
      </c>
      <c r="L118" s="10" t="s">
        <v>97</v>
      </c>
      <c r="M118" s="10" t="s">
        <v>176</v>
      </c>
      <c r="N118" s="10" t="s">
        <v>656</v>
      </c>
      <c r="O118" s="10" t="s">
        <v>45</v>
      </c>
      <c r="P118" s="10" t="s">
        <v>41</v>
      </c>
      <c r="Q118" s="7" t="s">
        <v>30</v>
      </c>
      <c r="R118" s="15" t="s">
        <v>32</v>
      </c>
      <c r="S118" s="7" t="s">
        <v>429</v>
      </c>
      <c r="T118" s="15" t="s">
        <v>779</v>
      </c>
      <c r="U118" s="7" t="s">
        <v>780</v>
      </c>
      <c r="V118" s="88">
        <f>141+98</f>
        <v>239</v>
      </c>
      <c r="W118" s="14">
        <v>98</v>
      </c>
      <c r="X118" s="14">
        <v>7</v>
      </c>
      <c r="Y118" s="14">
        <v>55</v>
      </c>
      <c r="Z118" s="14">
        <v>7</v>
      </c>
      <c r="AA118" s="14"/>
      <c r="AB118" s="14">
        <v>82</v>
      </c>
      <c r="AC118" s="14"/>
      <c r="AD118" s="14"/>
      <c r="AE118" s="14"/>
      <c r="AF118" s="14">
        <v>55</v>
      </c>
      <c r="AG118" s="14">
        <v>17</v>
      </c>
      <c r="AH118" s="14">
        <f>+W118-76</f>
        <v>22</v>
      </c>
      <c r="AI118" s="14">
        <v>80</v>
      </c>
      <c r="AJ118" s="14"/>
      <c r="AK118" s="14"/>
      <c r="AL118" s="14">
        <v>30</v>
      </c>
      <c r="AM118" s="14">
        <v>30</v>
      </c>
      <c r="AN118" s="14">
        <v>26</v>
      </c>
      <c r="AO118" s="14">
        <v>11</v>
      </c>
      <c r="AP118" s="14">
        <v>22</v>
      </c>
      <c r="AQ118" s="14"/>
      <c r="AR118" s="14">
        <v>51</v>
      </c>
      <c r="AS118" s="14">
        <v>17</v>
      </c>
      <c r="AT118" s="14"/>
      <c r="AU118" s="14"/>
      <c r="AV118" s="14"/>
      <c r="AW118" s="14"/>
      <c r="AX118" s="14"/>
      <c r="AY118" s="14"/>
      <c r="AZ118" s="14"/>
      <c r="BA118" s="14"/>
      <c r="BB118" s="14"/>
      <c r="BC118" s="20">
        <v>141</v>
      </c>
      <c r="BD118" s="20">
        <v>2</v>
      </c>
      <c r="BE118" s="20">
        <v>51</v>
      </c>
      <c r="BF118" s="20">
        <v>5</v>
      </c>
      <c r="BG118" s="20"/>
      <c r="BH118" s="20">
        <v>44</v>
      </c>
      <c r="BI118" s="20"/>
      <c r="BJ118" s="20"/>
      <c r="BK118" s="20"/>
      <c r="BL118" s="20">
        <v>56</v>
      </c>
      <c r="BM118" s="20">
        <v>17</v>
      </c>
      <c r="BN118" s="20">
        <f>141-88</f>
        <v>53</v>
      </c>
      <c r="BO118" s="20">
        <v>40</v>
      </c>
      <c r="BP118" s="20"/>
      <c r="BQ118" s="20"/>
      <c r="BR118" s="20">
        <v>42</v>
      </c>
      <c r="BS118" s="20">
        <v>42</v>
      </c>
      <c r="BT118" s="20">
        <v>11</v>
      </c>
      <c r="BU118" s="20">
        <v>34</v>
      </c>
      <c r="BV118" s="20">
        <v>23</v>
      </c>
      <c r="BW118" s="20"/>
      <c r="BX118" s="20">
        <v>20</v>
      </c>
      <c r="BY118" s="20">
        <v>22</v>
      </c>
      <c r="BZ118" s="20"/>
      <c r="CA118" s="20"/>
      <c r="CB118" s="20"/>
      <c r="CC118" s="20"/>
      <c r="CD118" s="20"/>
      <c r="CE118" s="20"/>
      <c r="CF118" s="20"/>
      <c r="CG118" s="20"/>
      <c r="CH118" s="20"/>
      <c r="CI118" s="26">
        <v>11.4</v>
      </c>
      <c r="CJ118" s="26">
        <v>21.7</v>
      </c>
      <c r="CK118" s="26">
        <v>6</v>
      </c>
      <c r="CL118" s="26"/>
      <c r="CM118" s="26"/>
      <c r="CN118" s="26"/>
      <c r="CO118" s="9" t="s">
        <v>511</v>
      </c>
    </row>
    <row r="119" spans="1:93" s="8" customFormat="1">
      <c r="A119" s="27">
        <v>94</v>
      </c>
      <c r="B119" s="15">
        <f t="shared" si="10"/>
        <v>94</v>
      </c>
      <c r="C119" s="5" t="s">
        <v>268</v>
      </c>
      <c r="D119" s="5" t="s">
        <v>269</v>
      </c>
      <c r="E119" s="5" t="str">
        <f t="shared" si="6"/>
        <v>Zhang, 2020</v>
      </c>
      <c r="F119" s="7">
        <v>2020</v>
      </c>
      <c r="G119" s="7" t="s">
        <v>95</v>
      </c>
      <c r="H119" s="10" t="s">
        <v>68</v>
      </c>
      <c r="I119" s="10" t="s">
        <v>96</v>
      </c>
      <c r="J119" s="10" t="s">
        <v>372</v>
      </c>
      <c r="K119" s="10" t="s">
        <v>373</v>
      </c>
      <c r="L119" s="10" t="s">
        <v>97</v>
      </c>
      <c r="M119" s="10" t="s">
        <v>176</v>
      </c>
      <c r="N119" s="10" t="s">
        <v>418</v>
      </c>
      <c r="O119" s="10" t="s">
        <v>45</v>
      </c>
      <c r="P119" s="10" t="s">
        <v>41</v>
      </c>
      <c r="Q119" s="7" t="s">
        <v>30</v>
      </c>
      <c r="R119" s="15" t="s">
        <v>32</v>
      </c>
      <c r="S119" s="7" t="s">
        <v>429</v>
      </c>
      <c r="T119" s="15" t="s">
        <v>779</v>
      </c>
      <c r="U119" s="7" t="s">
        <v>780</v>
      </c>
      <c r="V119" s="88">
        <v>496</v>
      </c>
      <c r="W119" s="14">
        <v>108</v>
      </c>
      <c r="X119" s="14">
        <v>41</v>
      </c>
      <c r="Y119" s="14">
        <v>24.5</v>
      </c>
      <c r="Z119" s="14"/>
      <c r="AA119" s="14">
        <v>10.5</v>
      </c>
      <c r="AB119" s="14">
        <v>85</v>
      </c>
      <c r="AC119" s="14"/>
      <c r="AD119" s="14"/>
      <c r="AE119" s="14"/>
      <c r="AF119" s="14">
        <v>62</v>
      </c>
      <c r="AG119" s="14"/>
      <c r="AH119" s="14">
        <f>+W119-67</f>
        <v>41</v>
      </c>
      <c r="AI119" s="14">
        <v>32</v>
      </c>
      <c r="AJ119" s="14"/>
      <c r="AK119" s="14"/>
      <c r="AL119" s="14">
        <v>21</v>
      </c>
      <c r="AM119" s="14">
        <v>40</v>
      </c>
      <c r="AN119" s="14"/>
      <c r="AO119" s="14">
        <v>15</v>
      </c>
      <c r="AP119" s="14"/>
      <c r="AQ119" s="14">
        <v>31</v>
      </c>
      <c r="AR119" s="14">
        <v>55</v>
      </c>
      <c r="AS119" s="14">
        <v>6</v>
      </c>
      <c r="AT119" s="14"/>
      <c r="AU119" s="14"/>
      <c r="AV119" s="14"/>
      <c r="AW119" s="14"/>
      <c r="AX119" s="14"/>
      <c r="AY119" s="14"/>
      <c r="AZ119" s="14"/>
      <c r="BA119" s="14"/>
      <c r="BB119" s="14">
        <v>2</v>
      </c>
      <c r="BC119" s="20">
        <v>388</v>
      </c>
      <c r="BD119" s="20">
        <v>34</v>
      </c>
      <c r="BE119" s="20">
        <v>26</v>
      </c>
      <c r="BF119" s="20"/>
      <c r="BG119" s="20">
        <v>9</v>
      </c>
      <c r="BH119" s="20">
        <v>155</v>
      </c>
      <c r="BI119" s="20"/>
      <c r="BJ119" s="20"/>
      <c r="BK119" s="20"/>
      <c r="BL119" s="20">
        <v>56</v>
      </c>
      <c r="BM119" s="20"/>
      <c r="BN119" s="20">
        <f>+BC119-214</f>
        <v>174</v>
      </c>
      <c r="BO119" s="20">
        <v>155</v>
      </c>
      <c r="BP119" s="20"/>
      <c r="BQ119" s="20"/>
      <c r="BR119" s="20">
        <v>78</v>
      </c>
      <c r="BS119" s="20">
        <v>105</v>
      </c>
      <c r="BT119" s="20"/>
      <c r="BU119" s="20">
        <v>115</v>
      </c>
      <c r="BV119" s="20"/>
      <c r="BW119" s="20">
        <v>30</v>
      </c>
      <c r="BX119" s="20">
        <v>50</v>
      </c>
      <c r="BY119" s="20">
        <v>57</v>
      </c>
      <c r="BZ119" s="20"/>
      <c r="CA119" s="20"/>
      <c r="CB119" s="20"/>
      <c r="CC119" s="20"/>
      <c r="CD119" s="20"/>
      <c r="CE119" s="20"/>
      <c r="CF119" s="20"/>
      <c r="CG119" s="20"/>
      <c r="CH119" s="20">
        <v>2</v>
      </c>
      <c r="CI119" s="26"/>
      <c r="CJ119" s="26"/>
      <c r="CK119" s="26"/>
      <c r="CL119" s="26">
        <v>3.04</v>
      </c>
      <c r="CM119" s="26">
        <v>7.22</v>
      </c>
      <c r="CN119" s="26">
        <v>1.28</v>
      </c>
      <c r="CO119" s="9"/>
    </row>
    <row r="120" spans="1:93" s="8" customFormat="1">
      <c r="A120" s="27">
        <v>95</v>
      </c>
      <c r="B120" s="15">
        <f t="shared" si="10"/>
        <v>95</v>
      </c>
      <c r="C120" s="5" t="s">
        <v>270</v>
      </c>
      <c r="D120" s="5" t="s">
        <v>271</v>
      </c>
      <c r="E120" s="5" t="str">
        <f t="shared" si="6"/>
        <v>Zhang, 2019</v>
      </c>
      <c r="F120" s="7">
        <v>2019</v>
      </c>
      <c r="G120" s="7" t="s">
        <v>95</v>
      </c>
      <c r="H120" s="10" t="s">
        <v>68</v>
      </c>
      <c r="I120" s="10" t="s">
        <v>96</v>
      </c>
      <c r="J120" s="10" t="s">
        <v>374</v>
      </c>
      <c r="K120" s="10" t="s">
        <v>375</v>
      </c>
      <c r="L120" s="10" t="s">
        <v>169</v>
      </c>
      <c r="M120" s="10" t="s">
        <v>176</v>
      </c>
      <c r="N120" s="10"/>
      <c r="O120" s="10" t="s">
        <v>660</v>
      </c>
      <c r="P120" s="10" t="s">
        <v>56</v>
      </c>
      <c r="Q120" s="7" t="s">
        <v>30</v>
      </c>
      <c r="R120" s="15" t="s">
        <v>32</v>
      </c>
      <c r="S120" s="7" t="s">
        <v>443</v>
      </c>
      <c r="T120" s="15" t="s">
        <v>765</v>
      </c>
      <c r="U120" s="7" t="s">
        <v>766</v>
      </c>
      <c r="V120" s="88">
        <f>164+W120</f>
        <v>324</v>
      </c>
      <c r="W120" s="14">
        <v>160</v>
      </c>
      <c r="X120" s="14">
        <v>39</v>
      </c>
      <c r="Y120" s="14"/>
      <c r="Z120" s="14"/>
      <c r="AA120" s="14">
        <v>30.89</v>
      </c>
      <c r="AB120" s="14"/>
      <c r="AC120" s="14"/>
      <c r="AD120" s="14"/>
      <c r="AE120" s="14"/>
      <c r="AF120" s="14">
        <v>61</v>
      </c>
      <c r="AG120" s="14"/>
      <c r="AH120" s="14">
        <f>160-74</f>
        <v>86</v>
      </c>
      <c r="AI120" s="14">
        <v>79</v>
      </c>
      <c r="AJ120" s="14"/>
      <c r="AK120" s="14"/>
      <c r="AL120" s="14">
        <v>23</v>
      </c>
      <c r="AM120" s="14">
        <v>52</v>
      </c>
      <c r="AN120" s="14">
        <v>23</v>
      </c>
      <c r="AO120" s="14">
        <v>149</v>
      </c>
      <c r="AP120" s="14"/>
      <c r="AQ120" s="14"/>
      <c r="AR120" s="14"/>
      <c r="AS120" s="14">
        <v>11</v>
      </c>
      <c r="AT120" s="14"/>
      <c r="AU120" s="14"/>
      <c r="AV120" s="14">
        <v>36</v>
      </c>
      <c r="AW120" s="14">
        <v>26</v>
      </c>
      <c r="AX120" s="14">
        <v>8</v>
      </c>
      <c r="AY120" s="14">
        <f>35+47</f>
        <v>82</v>
      </c>
      <c r="AZ120" s="14">
        <v>8</v>
      </c>
      <c r="BA120" s="14"/>
      <c r="BB120" s="14"/>
      <c r="BC120" s="20">
        <v>164</v>
      </c>
      <c r="BD120" s="20">
        <f>71-39</f>
        <v>32</v>
      </c>
      <c r="BE120" s="20"/>
      <c r="BF120" s="20"/>
      <c r="BG120" s="20">
        <v>29.18</v>
      </c>
      <c r="BH120" s="20"/>
      <c r="BI120" s="20"/>
      <c r="BJ120" s="20"/>
      <c r="BK120" s="20"/>
      <c r="BL120" s="20">
        <v>62</v>
      </c>
      <c r="BM120" s="20"/>
      <c r="BN120" s="20">
        <f>+BC120-82</f>
        <v>82</v>
      </c>
      <c r="BO120" s="20">
        <v>94</v>
      </c>
      <c r="BP120" s="20"/>
      <c r="BQ120" s="20"/>
      <c r="BR120" s="20">
        <v>26</v>
      </c>
      <c r="BS120" s="20">
        <v>60</v>
      </c>
      <c r="BT120" s="20">
        <v>29</v>
      </c>
      <c r="BU120" s="20">
        <v>156</v>
      </c>
      <c r="BV120" s="20"/>
      <c r="BW120" s="20"/>
      <c r="BX120" s="20"/>
      <c r="BY120" s="20">
        <v>8</v>
      </c>
      <c r="BZ120" s="20"/>
      <c r="CA120" s="20"/>
      <c r="CB120" s="20">
        <v>32</v>
      </c>
      <c r="CC120" s="20">
        <v>30</v>
      </c>
      <c r="CD120" s="20">
        <v>3</v>
      </c>
      <c r="CE120" s="20">
        <f>41+47</f>
        <v>88</v>
      </c>
      <c r="CF120" s="20">
        <v>11</v>
      </c>
      <c r="CG120" s="20"/>
      <c r="CH120" s="20"/>
      <c r="CI120" s="26"/>
      <c r="CJ120" s="26"/>
      <c r="CK120" s="26"/>
      <c r="CL120" s="26"/>
      <c r="CM120" s="26"/>
      <c r="CN120" s="26"/>
      <c r="CO120" s="9"/>
    </row>
    <row r="121" spans="1:93" s="8" customFormat="1">
      <c r="A121" s="27">
        <v>96</v>
      </c>
      <c r="B121" s="15">
        <f t="shared" si="10"/>
        <v>96</v>
      </c>
      <c r="C121" s="5" t="s">
        <v>290</v>
      </c>
      <c r="D121" s="5" t="s">
        <v>291</v>
      </c>
      <c r="E121" s="5" t="str">
        <f t="shared" si="6"/>
        <v>Zhang, 2017</v>
      </c>
      <c r="F121" s="7">
        <v>2017</v>
      </c>
      <c r="G121" s="7" t="s">
        <v>95</v>
      </c>
      <c r="H121" s="10" t="s">
        <v>68</v>
      </c>
      <c r="I121" s="10" t="s">
        <v>96</v>
      </c>
      <c r="J121" s="10" t="s">
        <v>523</v>
      </c>
      <c r="K121" s="10" t="s">
        <v>524</v>
      </c>
      <c r="L121" s="10" t="s">
        <v>169</v>
      </c>
      <c r="M121" s="10" t="s">
        <v>176</v>
      </c>
      <c r="N121" s="10" t="s">
        <v>649</v>
      </c>
      <c r="O121" s="10" t="s">
        <v>43</v>
      </c>
      <c r="P121" s="10" t="s">
        <v>41</v>
      </c>
      <c r="Q121" s="7" t="s">
        <v>30</v>
      </c>
      <c r="R121" s="15" t="s">
        <v>32</v>
      </c>
      <c r="S121" s="7" t="s">
        <v>443</v>
      </c>
      <c r="T121" s="15" t="s">
        <v>796</v>
      </c>
      <c r="U121" s="7" t="s">
        <v>797</v>
      </c>
      <c r="V121" s="88">
        <f>197+51</f>
        <v>248</v>
      </c>
      <c r="W121" s="14">
        <v>51</v>
      </c>
      <c r="X121" s="14">
        <v>13</v>
      </c>
      <c r="Y121" s="14">
        <v>29.88</v>
      </c>
      <c r="Z121" s="14">
        <v>17.899999999999999</v>
      </c>
      <c r="AA121" s="14"/>
      <c r="AB121" s="14">
        <v>4</v>
      </c>
      <c r="AC121" s="14"/>
      <c r="AD121" s="14"/>
      <c r="AE121" s="14"/>
      <c r="AF121" s="14">
        <v>58</v>
      </c>
      <c r="AG121" s="14"/>
      <c r="AH121" s="14">
        <f>51-32</f>
        <v>19</v>
      </c>
      <c r="AI121" s="14">
        <v>30</v>
      </c>
      <c r="AJ121" s="14"/>
      <c r="AK121" s="14"/>
      <c r="AL121" s="14">
        <v>7</v>
      </c>
      <c r="AM121" s="14">
        <v>8</v>
      </c>
      <c r="AN121" s="14">
        <v>5</v>
      </c>
      <c r="AO121" s="14">
        <v>49</v>
      </c>
      <c r="AP121" s="14"/>
      <c r="AQ121" s="14"/>
      <c r="AR121" s="14"/>
      <c r="AS121" s="14">
        <v>2</v>
      </c>
      <c r="AT121" s="14"/>
      <c r="AU121" s="14"/>
      <c r="AV121" s="14">
        <v>6</v>
      </c>
      <c r="AW121" s="14">
        <v>4</v>
      </c>
      <c r="AX121" s="14">
        <v>4</v>
      </c>
      <c r="AY121" s="14">
        <f>11+9</f>
        <v>20</v>
      </c>
      <c r="AZ121" s="14">
        <f>13+4</f>
        <v>17</v>
      </c>
      <c r="BA121" s="14"/>
      <c r="BB121" s="14"/>
      <c r="BC121" s="20">
        <v>197</v>
      </c>
      <c r="BD121" s="20">
        <v>24</v>
      </c>
      <c r="BE121" s="20">
        <v>30.98</v>
      </c>
      <c r="BF121" s="20">
        <v>23.5</v>
      </c>
      <c r="BG121" s="20"/>
      <c r="BH121" s="20">
        <v>23</v>
      </c>
      <c r="BI121" s="20"/>
      <c r="BJ121" s="20"/>
      <c r="BK121" s="20"/>
      <c r="BL121" s="20">
        <v>61</v>
      </c>
      <c r="BM121" s="20"/>
      <c r="BN121" s="20">
        <f>+BC121-92</f>
        <v>105</v>
      </c>
      <c r="BO121" s="20">
        <v>109</v>
      </c>
      <c r="BP121" s="20"/>
      <c r="BQ121" s="20"/>
      <c r="BR121" s="20">
        <v>32</v>
      </c>
      <c r="BS121" s="20">
        <v>55</v>
      </c>
      <c r="BT121" s="20">
        <v>33</v>
      </c>
      <c r="BU121" s="20">
        <v>184</v>
      </c>
      <c r="BV121" s="20"/>
      <c r="BW121" s="20"/>
      <c r="BX121" s="20"/>
      <c r="BY121" s="20">
        <v>13</v>
      </c>
      <c r="BZ121" s="20"/>
      <c r="CA121" s="20"/>
      <c r="CB121" s="20">
        <v>18</v>
      </c>
      <c r="CC121" s="20">
        <v>24</v>
      </c>
      <c r="CD121" s="20">
        <v>9</v>
      </c>
      <c r="CE121" s="20">
        <f>28+42</f>
        <v>70</v>
      </c>
      <c r="CF121" s="20">
        <f>54+22</f>
        <v>76</v>
      </c>
      <c r="CG121" s="20"/>
      <c r="CH121" s="20"/>
      <c r="CI121" s="26"/>
      <c r="CJ121" s="26"/>
      <c r="CK121" s="26"/>
      <c r="CL121" s="26"/>
      <c r="CM121" s="26"/>
      <c r="CN121" s="26"/>
      <c r="CO121" s="9"/>
    </row>
    <row r="122" spans="1:93" s="8" customFormat="1">
      <c r="A122" s="27">
        <v>97</v>
      </c>
      <c r="B122" s="15">
        <f t="shared" si="10"/>
        <v>97</v>
      </c>
      <c r="C122" s="5" t="s">
        <v>272</v>
      </c>
      <c r="D122" s="5" t="s">
        <v>273</v>
      </c>
      <c r="E122" s="5" t="str">
        <f t="shared" si="6"/>
        <v>Zhang, 2017</v>
      </c>
      <c r="F122" s="7">
        <v>2017</v>
      </c>
      <c r="G122" s="7" t="s">
        <v>95</v>
      </c>
      <c r="H122" s="10" t="s">
        <v>68</v>
      </c>
      <c r="I122" s="10" t="s">
        <v>96</v>
      </c>
      <c r="J122" s="10" t="s">
        <v>376</v>
      </c>
      <c r="K122" s="10" t="s">
        <v>377</v>
      </c>
      <c r="L122" s="10" t="s">
        <v>512</v>
      </c>
      <c r="M122" s="10" t="s">
        <v>164</v>
      </c>
      <c r="N122" s="10" t="s">
        <v>50</v>
      </c>
      <c r="O122" s="10" t="s">
        <v>46</v>
      </c>
      <c r="P122" s="10" t="s">
        <v>59</v>
      </c>
      <c r="Q122" s="7" t="s">
        <v>51</v>
      </c>
      <c r="R122" s="15" t="s">
        <v>52</v>
      </c>
      <c r="S122" s="7" t="s">
        <v>429</v>
      </c>
      <c r="T122" s="15" t="s">
        <v>768</v>
      </c>
      <c r="U122" s="7" t="s">
        <v>769</v>
      </c>
      <c r="V122" s="88">
        <v>224</v>
      </c>
      <c r="W122" s="14">
        <v>7</v>
      </c>
      <c r="X122" s="14">
        <v>2</v>
      </c>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20">
        <f>+V122-W122</f>
        <v>217</v>
      </c>
      <c r="BD122" s="20">
        <f>54-2</f>
        <v>52</v>
      </c>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6"/>
      <c r="CJ122" s="26"/>
      <c r="CK122" s="26"/>
      <c r="CL122" s="26"/>
      <c r="CM122" s="26"/>
      <c r="CN122" s="26"/>
      <c r="CO122" s="9"/>
    </row>
    <row r="123" spans="1:93" s="8" customFormat="1">
      <c r="A123" s="27">
        <v>98</v>
      </c>
      <c r="B123" s="15">
        <f t="shared" si="10"/>
        <v>98</v>
      </c>
      <c r="C123" s="5" t="s">
        <v>274</v>
      </c>
      <c r="D123" s="5" t="s">
        <v>275</v>
      </c>
      <c r="E123" s="5" t="str">
        <f t="shared" si="6"/>
        <v>Zhang, 2020</v>
      </c>
      <c r="F123" s="7">
        <v>2020</v>
      </c>
      <c r="G123" s="7" t="s">
        <v>95</v>
      </c>
      <c r="H123" s="10" t="s">
        <v>68</v>
      </c>
      <c r="I123" s="10" t="s">
        <v>96</v>
      </c>
      <c r="J123" s="10" t="s">
        <v>514</v>
      </c>
      <c r="K123" s="10" t="s">
        <v>513</v>
      </c>
      <c r="L123" s="10" t="s">
        <v>107</v>
      </c>
      <c r="M123" s="10" t="s">
        <v>642</v>
      </c>
      <c r="N123" s="10" t="s">
        <v>458</v>
      </c>
      <c r="O123" s="10" t="s">
        <v>45</v>
      </c>
      <c r="P123" s="10" t="s">
        <v>41</v>
      </c>
      <c r="Q123" s="7" t="s">
        <v>30</v>
      </c>
      <c r="R123" s="15" t="s">
        <v>32</v>
      </c>
      <c r="S123" s="7" t="s">
        <v>429</v>
      </c>
      <c r="T123" s="15" t="s">
        <v>777</v>
      </c>
      <c r="U123" s="7" t="s">
        <v>778</v>
      </c>
      <c r="V123" s="88">
        <f>42+27</f>
        <v>69</v>
      </c>
      <c r="W123" s="14">
        <v>40</v>
      </c>
      <c r="X123" s="14">
        <v>30</v>
      </c>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20">
        <v>29</v>
      </c>
      <c r="BD123" s="20">
        <v>12</v>
      </c>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6">
        <v>4.25</v>
      </c>
      <c r="CJ123" s="26">
        <v>11.888999999999999</v>
      </c>
      <c r="CK123" s="26">
        <v>1.5189999999999999</v>
      </c>
      <c r="CL123" s="26"/>
      <c r="CM123" s="26"/>
      <c r="CN123" s="26"/>
      <c r="CO123" s="9"/>
    </row>
    <row r="124" spans="1:93" s="8" customFormat="1">
      <c r="A124" s="27">
        <v>99</v>
      </c>
      <c r="B124" s="15">
        <f t="shared" si="10"/>
        <v>99</v>
      </c>
      <c r="C124" s="5" t="s">
        <v>989</v>
      </c>
      <c r="D124" s="5" t="s">
        <v>1057</v>
      </c>
      <c r="E124" s="5" t="str">
        <f t="shared" si="6"/>
        <v>Zhao, 2022</v>
      </c>
      <c r="F124" s="7">
        <v>2022</v>
      </c>
      <c r="G124" s="7" t="s">
        <v>95</v>
      </c>
      <c r="H124" s="10" t="s">
        <v>68</v>
      </c>
      <c r="I124" s="10" t="s">
        <v>96</v>
      </c>
      <c r="J124" s="10" t="s">
        <v>990</v>
      </c>
      <c r="K124" s="10" t="s">
        <v>991</v>
      </c>
      <c r="L124" s="10" t="s">
        <v>169</v>
      </c>
      <c r="M124" s="10" t="s">
        <v>176</v>
      </c>
      <c r="N124" s="10"/>
      <c r="O124" s="10"/>
      <c r="P124" s="10"/>
      <c r="Q124" s="7" t="s">
        <v>30</v>
      </c>
      <c r="R124" s="15" t="s">
        <v>32</v>
      </c>
      <c r="S124" s="7" t="s">
        <v>443</v>
      </c>
      <c r="T124" s="15" t="s">
        <v>765</v>
      </c>
      <c r="U124" s="7" t="s">
        <v>766</v>
      </c>
      <c r="V124" s="88">
        <v>388</v>
      </c>
      <c r="W124" s="14">
        <v>159</v>
      </c>
      <c r="X124" s="14">
        <v>29</v>
      </c>
      <c r="Y124" s="14"/>
      <c r="Z124" s="14"/>
      <c r="AA124" s="14"/>
      <c r="AB124" s="14"/>
      <c r="AC124" s="14"/>
      <c r="AD124" s="14"/>
      <c r="AE124" s="14"/>
      <c r="AF124" s="14"/>
      <c r="AG124" s="14"/>
      <c r="AH124" s="14"/>
      <c r="AI124" s="14"/>
      <c r="AJ124" s="14">
        <v>40</v>
      </c>
      <c r="AK124" s="14"/>
      <c r="AL124" s="14">
        <v>53</v>
      </c>
      <c r="AM124" s="14"/>
      <c r="AN124" s="14">
        <v>71</v>
      </c>
      <c r="AO124" s="14">
        <v>25</v>
      </c>
      <c r="AP124" s="14">
        <v>6</v>
      </c>
      <c r="AQ124" s="14"/>
      <c r="AR124" s="14">
        <v>8</v>
      </c>
      <c r="AS124" s="14"/>
      <c r="AT124" s="14"/>
      <c r="AU124" s="14"/>
      <c r="AV124" s="14">
        <v>72</v>
      </c>
      <c r="AW124" s="14">
        <v>40</v>
      </c>
      <c r="AX124" s="14"/>
      <c r="AY124" s="14">
        <v>41</v>
      </c>
      <c r="AZ124" s="14">
        <v>18</v>
      </c>
      <c r="BA124" s="14"/>
      <c r="BB124" s="14"/>
      <c r="BC124" s="20">
        <f>335-130</f>
        <v>205</v>
      </c>
      <c r="BD124" s="20">
        <f>53-29</f>
        <v>24</v>
      </c>
      <c r="BE124" s="20"/>
      <c r="BF124" s="20"/>
      <c r="BG124" s="20"/>
      <c r="BH124" s="20"/>
      <c r="BI124" s="20"/>
      <c r="BJ124" s="20"/>
      <c r="BK124" s="20"/>
      <c r="BL124" s="20"/>
      <c r="BM124" s="20"/>
      <c r="BN124" s="20"/>
      <c r="BO124" s="20"/>
      <c r="BP124" s="20">
        <v>47</v>
      </c>
      <c r="BQ124" s="20"/>
      <c r="BR124" s="20">
        <v>45</v>
      </c>
      <c r="BS124" s="20"/>
      <c r="BT124" s="20">
        <v>100</v>
      </c>
      <c r="BU124" s="20">
        <v>33</v>
      </c>
      <c r="BV124" s="20">
        <v>11</v>
      </c>
      <c r="BW124" s="20"/>
      <c r="BX124" s="20">
        <v>15</v>
      </c>
      <c r="BY124" s="20"/>
      <c r="BZ124" s="20"/>
      <c r="CA124" s="20"/>
      <c r="CB124" s="20">
        <v>59</v>
      </c>
      <c r="CC124" s="20">
        <f>37+40</f>
        <v>77</v>
      </c>
      <c r="CD124" s="20"/>
      <c r="CE124" s="20">
        <v>26</v>
      </c>
      <c r="CF124" s="20">
        <v>20</v>
      </c>
      <c r="CG124" s="20"/>
      <c r="CH124" s="20"/>
      <c r="CI124" s="26"/>
      <c r="CJ124" s="26"/>
      <c r="CK124" s="26"/>
      <c r="CL124" s="26"/>
      <c r="CM124" s="26"/>
      <c r="CN124" s="26"/>
      <c r="CO124" s="9"/>
    </row>
    <row r="125" spans="1:93" s="8" customFormat="1">
      <c r="A125" s="27">
        <v>100</v>
      </c>
      <c r="B125" s="130" t="s">
        <v>1024</v>
      </c>
      <c r="C125" s="5" t="s">
        <v>276</v>
      </c>
      <c r="D125" s="5" t="s">
        <v>277</v>
      </c>
      <c r="E125" s="5" t="str">
        <f t="shared" si="6"/>
        <v>Zhao, 2020</v>
      </c>
      <c r="F125" s="7">
        <v>2020</v>
      </c>
      <c r="G125" s="7" t="s">
        <v>95</v>
      </c>
      <c r="H125" s="10" t="s">
        <v>68</v>
      </c>
      <c r="I125" s="10" t="s">
        <v>96</v>
      </c>
      <c r="J125" s="10" t="s">
        <v>378</v>
      </c>
      <c r="K125" s="10" t="s">
        <v>670</v>
      </c>
      <c r="L125" s="10" t="s">
        <v>107</v>
      </c>
      <c r="M125" s="10" t="s">
        <v>642</v>
      </c>
      <c r="N125" s="10" t="s">
        <v>458</v>
      </c>
      <c r="O125" s="10" t="s">
        <v>45</v>
      </c>
      <c r="P125" s="10" t="s">
        <v>41</v>
      </c>
      <c r="Q125" s="7" t="s">
        <v>30</v>
      </c>
      <c r="R125" s="15" t="s">
        <v>32</v>
      </c>
      <c r="S125" s="7" t="s">
        <v>429</v>
      </c>
      <c r="T125" s="15" t="s">
        <v>777</v>
      </c>
      <c r="U125" s="7" t="s">
        <v>778</v>
      </c>
      <c r="V125" s="88">
        <f>+W125+238</f>
        <v>293</v>
      </c>
      <c r="W125" s="14">
        <v>55</v>
      </c>
      <c r="X125" s="14">
        <v>11</v>
      </c>
      <c r="Y125" s="14">
        <v>29</v>
      </c>
      <c r="Z125" s="14"/>
      <c r="AA125" s="14"/>
      <c r="AB125" s="14"/>
      <c r="AC125" s="14"/>
      <c r="AD125" s="14"/>
      <c r="AE125" s="14"/>
      <c r="AF125" s="14"/>
      <c r="AG125" s="14"/>
      <c r="AH125" s="14">
        <v>24</v>
      </c>
      <c r="AI125" s="14"/>
      <c r="AJ125" s="14">
        <v>39</v>
      </c>
      <c r="AK125" s="14"/>
      <c r="AL125" s="14"/>
      <c r="AM125" s="14"/>
      <c r="AN125" s="14"/>
      <c r="AO125" s="14"/>
      <c r="AP125" s="14"/>
      <c r="AQ125" s="14"/>
      <c r="AR125" s="14"/>
      <c r="AS125" s="14"/>
      <c r="AT125" s="14"/>
      <c r="AU125" s="14"/>
      <c r="AV125" s="14"/>
      <c r="AW125" s="14"/>
      <c r="AX125" s="14"/>
      <c r="AY125" s="14"/>
      <c r="AZ125" s="14"/>
      <c r="BA125" s="14"/>
      <c r="BB125" s="14"/>
      <c r="BC125" s="20">
        <v>238</v>
      </c>
      <c r="BD125" s="20">
        <v>14</v>
      </c>
      <c r="BE125" s="20">
        <v>26</v>
      </c>
      <c r="BF125" s="20"/>
      <c r="BG125" s="20"/>
      <c r="BH125" s="20"/>
      <c r="BI125" s="20"/>
      <c r="BJ125" s="20"/>
      <c r="BK125" s="20"/>
      <c r="BL125" s="20"/>
      <c r="BM125" s="20"/>
      <c r="BN125" s="20">
        <v>115</v>
      </c>
      <c r="BO125" s="20"/>
      <c r="BP125" s="20">
        <v>133</v>
      </c>
      <c r="BQ125" s="20"/>
      <c r="BR125" s="20"/>
      <c r="BS125" s="20"/>
      <c r="BT125" s="20"/>
      <c r="BU125" s="20"/>
      <c r="BV125" s="20"/>
      <c r="BW125" s="20"/>
      <c r="BX125" s="20"/>
      <c r="BY125" s="20"/>
      <c r="BZ125" s="20"/>
      <c r="CA125" s="20"/>
      <c r="CB125" s="20"/>
      <c r="CC125" s="20"/>
      <c r="CD125" s="20"/>
      <c r="CE125" s="20"/>
      <c r="CF125" s="20"/>
      <c r="CG125" s="20"/>
      <c r="CH125" s="20"/>
      <c r="CI125" s="26"/>
      <c r="CJ125" s="26"/>
      <c r="CK125" s="26"/>
      <c r="CL125" s="26"/>
      <c r="CM125" s="26"/>
      <c r="CN125" s="26"/>
      <c r="CO125" s="9"/>
    </row>
    <row r="126" spans="1:93" s="8" customFormat="1">
      <c r="A126" s="27">
        <v>100</v>
      </c>
      <c r="B126" s="130" t="s">
        <v>1025</v>
      </c>
      <c r="C126" s="5" t="s">
        <v>276</v>
      </c>
      <c r="D126" s="5" t="s">
        <v>277</v>
      </c>
      <c r="E126" s="5" t="str">
        <f t="shared" si="6"/>
        <v>Zhao, 2020</v>
      </c>
      <c r="F126" s="7">
        <v>2020</v>
      </c>
      <c r="G126" s="7" t="s">
        <v>95</v>
      </c>
      <c r="H126" s="10" t="s">
        <v>68</v>
      </c>
      <c r="I126" s="10" t="s">
        <v>96</v>
      </c>
      <c r="J126" s="10" t="s">
        <v>378</v>
      </c>
      <c r="K126" s="10" t="s">
        <v>670</v>
      </c>
      <c r="L126" s="10" t="s">
        <v>107</v>
      </c>
      <c r="M126" s="10" t="s">
        <v>642</v>
      </c>
      <c r="N126" s="10" t="s">
        <v>652</v>
      </c>
      <c r="O126" s="10" t="s">
        <v>56</v>
      </c>
      <c r="P126" s="10" t="s">
        <v>56</v>
      </c>
      <c r="Q126" s="7" t="s">
        <v>30</v>
      </c>
      <c r="R126" s="15" t="s">
        <v>32</v>
      </c>
      <c r="S126" s="7" t="s">
        <v>434</v>
      </c>
      <c r="T126" s="15" t="s">
        <v>434</v>
      </c>
      <c r="U126" s="7" t="s">
        <v>770</v>
      </c>
      <c r="V126" s="88">
        <f>255+38</f>
        <v>293</v>
      </c>
      <c r="W126" s="14">
        <v>38</v>
      </c>
      <c r="X126" s="14">
        <v>11</v>
      </c>
      <c r="Y126" s="14">
        <v>27</v>
      </c>
      <c r="Z126" s="14"/>
      <c r="AA126" s="14"/>
      <c r="AB126" s="14"/>
      <c r="AC126" s="14"/>
      <c r="AD126" s="14"/>
      <c r="AE126" s="14"/>
      <c r="AF126" s="14">
        <v>43</v>
      </c>
      <c r="AG126" s="14"/>
      <c r="AH126" s="14">
        <v>11</v>
      </c>
      <c r="AI126" s="14"/>
      <c r="AJ126" s="14">
        <v>26</v>
      </c>
      <c r="AK126" s="14"/>
      <c r="AL126" s="14"/>
      <c r="AM126" s="14"/>
      <c r="AN126" s="14"/>
      <c r="AO126" s="14"/>
      <c r="AP126" s="14"/>
      <c r="AQ126" s="14"/>
      <c r="AR126" s="14"/>
      <c r="AS126" s="14"/>
      <c r="AT126" s="14"/>
      <c r="AU126" s="14"/>
      <c r="AV126" s="14"/>
      <c r="AW126" s="14"/>
      <c r="AX126" s="14"/>
      <c r="AY126" s="14"/>
      <c r="AZ126" s="14"/>
      <c r="BA126" s="14"/>
      <c r="BB126" s="14"/>
      <c r="BC126" s="20">
        <v>255</v>
      </c>
      <c r="BD126" s="20">
        <v>14</v>
      </c>
      <c r="BE126" s="20">
        <v>26</v>
      </c>
      <c r="BF126" s="20"/>
      <c r="BG126" s="20"/>
      <c r="BH126" s="20"/>
      <c r="BI126" s="20"/>
      <c r="BJ126" s="20"/>
      <c r="BK126" s="20"/>
      <c r="BL126" s="20">
        <v>42</v>
      </c>
      <c r="BM126" s="20"/>
      <c r="BN126" s="20">
        <v>128</v>
      </c>
      <c r="BO126" s="20"/>
      <c r="BP126" s="20">
        <v>146</v>
      </c>
      <c r="BQ126" s="20"/>
      <c r="BR126" s="20"/>
      <c r="BS126" s="20"/>
      <c r="BT126" s="20"/>
      <c r="BU126" s="20"/>
      <c r="BV126" s="20"/>
      <c r="BW126" s="20"/>
      <c r="BX126" s="20"/>
      <c r="BY126" s="20"/>
      <c r="BZ126" s="20"/>
      <c r="CA126" s="20"/>
      <c r="CB126" s="20"/>
      <c r="CC126" s="20"/>
      <c r="CD126" s="20"/>
      <c r="CE126" s="20"/>
      <c r="CF126" s="20"/>
      <c r="CG126" s="20"/>
      <c r="CH126" s="20"/>
      <c r="CI126" s="26"/>
      <c r="CJ126" s="26"/>
      <c r="CK126" s="26"/>
      <c r="CL126" s="26">
        <v>7.1959999999999997</v>
      </c>
      <c r="CM126" s="26">
        <v>18.667999999999999</v>
      </c>
      <c r="CN126" s="26">
        <v>2.7730000000000001</v>
      </c>
      <c r="CO126" s="9"/>
    </row>
    <row r="127" spans="1:93" s="8" customFormat="1">
      <c r="A127" s="27">
        <v>101</v>
      </c>
      <c r="B127" s="15">
        <f t="shared" si="10"/>
        <v>101</v>
      </c>
      <c r="C127" s="5" t="s">
        <v>278</v>
      </c>
      <c r="D127" s="5" t="s">
        <v>279</v>
      </c>
      <c r="E127" s="5" t="str">
        <f t="shared" si="6"/>
        <v>Zheng, 2018</v>
      </c>
      <c r="F127" s="7">
        <v>2018</v>
      </c>
      <c r="G127" s="7" t="s">
        <v>95</v>
      </c>
      <c r="H127" s="10" t="s">
        <v>68</v>
      </c>
      <c r="I127" s="10" t="s">
        <v>96</v>
      </c>
      <c r="J127" s="10" t="s">
        <v>379</v>
      </c>
      <c r="K127" s="10" t="s">
        <v>515</v>
      </c>
      <c r="L127" s="10" t="s">
        <v>97</v>
      </c>
      <c r="M127" s="10" t="s">
        <v>176</v>
      </c>
      <c r="N127" s="10" t="s">
        <v>418</v>
      </c>
      <c r="O127" s="10" t="s">
        <v>45</v>
      </c>
      <c r="P127" s="10" t="s">
        <v>41</v>
      </c>
      <c r="Q127" s="7" t="s">
        <v>30</v>
      </c>
      <c r="R127" s="15" t="s">
        <v>32</v>
      </c>
      <c r="S127" s="7" t="s">
        <v>429</v>
      </c>
      <c r="T127" s="15" t="s">
        <v>779</v>
      </c>
      <c r="U127" s="7" t="s">
        <v>780</v>
      </c>
      <c r="V127" s="88">
        <f>230+59</f>
        <v>289</v>
      </c>
      <c r="W127" s="14">
        <v>59</v>
      </c>
      <c r="X127" s="13">
        <f>+W127*0.5424</f>
        <v>32.001599999999996</v>
      </c>
      <c r="Y127" s="14"/>
      <c r="Z127" s="14"/>
      <c r="AA127" s="14">
        <v>19</v>
      </c>
      <c r="AB127" s="14">
        <v>28</v>
      </c>
      <c r="AC127" s="14"/>
      <c r="AD127" s="14"/>
      <c r="AE127" s="14"/>
      <c r="AF127" s="14">
        <v>69.98</v>
      </c>
      <c r="AG127" s="14">
        <v>16.68</v>
      </c>
      <c r="AH127" s="14">
        <f>59-37</f>
        <v>22</v>
      </c>
      <c r="AI127" s="14">
        <v>21</v>
      </c>
      <c r="AJ127" s="14"/>
      <c r="AK127" s="14">
        <v>10</v>
      </c>
      <c r="AL127" s="14">
        <v>12</v>
      </c>
      <c r="AM127" s="14">
        <v>27</v>
      </c>
      <c r="AN127" s="14">
        <v>19</v>
      </c>
      <c r="AO127" s="14">
        <v>15</v>
      </c>
      <c r="AP127" s="14">
        <v>3</v>
      </c>
      <c r="AQ127" s="14">
        <v>7</v>
      </c>
      <c r="AR127" s="14">
        <v>4</v>
      </c>
      <c r="AS127" s="14"/>
      <c r="AT127" s="14"/>
      <c r="AU127" s="14">
        <v>5.05</v>
      </c>
      <c r="AV127" s="14">
        <v>1</v>
      </c>
      <c r="AW127" s="14">
        <v>29</v>
      </c>
      <c r="AX127" s="14">
        <v>12</v>
      </c>
      <c r="AY127" s="14">
        <f>10+2+5</f>
        <v>17</v>
      </c>
      <c r="AZ127" s="14"/>
      <c r="BA127" s="14" t="s">
        <v>518</v>
      </c>
      <c r="BB127" s="14"/>
      <c r="BC127" s="20">
        <v>230</v>
      </c>
      <c r="BD127" s="21">
        <f>77-X127</f>
        <v>44.998400000000004</v>
      </c>
      <c r="BE127" s="20"/>
      <c r="BF127" s="20"/>
      <c r="BG127" s="20">
        <v>5</v>
      </c>
      <c r="BH127" s="20">
        <v>47</v>
      </c>
      <c r="BI127" s="20"/>
      <c r="BJ127" s="20"/>
      <c r="BK127" s="20"/>
      <c r="BL127" s="20">
        <v>65.86</v>
      </c>
      <c r="BM127" s="20">
        <v>14.62</v>
      </c>
      <c r="BN127" s="20">
        <f>+BC127-157</f>
        <v>73</v>
      </c>
      <c r="BO127" s="20">
        <v>51</v>
      </c>
      <c r="BP127" s="20"/>
      <c r="BQ127" s="20">
        <v>112</v>
      </c>
      <c r="BR127" s="20">
        <v>82</v>
      </c>
      <c r="BS127" s="20">
        <v>76</v>
      </c>
      <c r="BT127" s="20">
        <v>43</v>
      </c>
      <c r="BU127" s="20">
        <v>65</v>
      </c>
      <c r="BV127" s="20">
        <v>5</v>
      </c>
      <c r="BW127" s="20">
        <v>13</v>
      </c>
      <c r="BX127" s="20">
        <v>7</v>
      </c>
      <c r="BY127" s="20"/>
      <c r="BZ127" s="20"/>
      <c r="CA127" s="20">
        <v>2.42</v>
      </c>
      <c r="CB127" s="20">
        <v>16</v>
      </c>
      <c r="CC127" s="20">
        <v>58</v>
      </c>
      <c r="CD127" s="20">
        <f>68+15</f>
        <v>83</v>
      </c>
      <c r="CE127" s="20">
        <f>44+8+22</f>
        <v>74</v>
      </c>
      <c r="CF127" s="20"/>
      <c r="CG127" s="20" t="s">
        <v>517</v>
      </c>
      <c r="CH127" s="20"/>
      <c r="CI127" s="26"/>
      <c r="CJ127" s="26"/>
      <c r="CK127" s="26"/>
      <c r="CL127" s="26"/>
      <c r="CM127" s="26"/>
      <c r="CN127" s="26"/>
      <c r="CO127" s="9"/>
    </row>
    <row r="128" spans="1:93" s="8" customFormat="1">
      <c r="A128" s="27">
        <v>102</v>
      </c>
      <c r="B128" s="15">
        <f t="shared" si="10"/>
        <v>102</v>
      </c>
      <c r="C128" s="5" t="s">
        <v>280</v>
      </c>
      <c r="D128" s="5" t="s">
        <v>281</v>
      </c>
      <c r="E128" s="5" t="str">
        <f t="shared" si="6"/>
        <v>Zheng, 2017</v>
      </c>
      <c r="F128" s="7">
        <v>2017</v>
      </c>
      <c r="G128" s="7" t="s">
        <v>95</v>
      </c>
      <c r="H128" s="10" t="s">
        <v>68</v>
      </c>
      <c r="I128" s="10" t="s">
        <v>96</v>
      </c>
      <c r="J128" s="10" t="s">
        <v>380</v>
      </c>
      <c r="K128" s="10" t="s">
        <v>381</v>
      </c>
      <c r="L128" s="10" t="s">
        <v>97</v>
      </c>
      <c r="M128" s="10" t="s">
        <v>176</v>
      </c>
      <c r="N128" s="10" t="s">
        <v>418</v>
      </c>
      <c r="O128" s="10" t="s">
        <v>45</v>
      </c>
      <c r="P128" s="10" t="s">
        <v>41</v>
      </c>
      <c r="Q128" s="7" t="s">
        <v>30</v>
      </c>
      <c r="R128" s="15" t="s">
        <v>32</v>
      </c>
      <c r="S128" s="7" t="s">
        <v>429</v>
      </c>
      <c r="T128" s="15" t="s">
        <v>779</v>
      </c>
      <c r="U128" s="7" t="s">
        <v>780</v>
      </c>
      <c r="V128" s="88">
        <f>+W128+17</f>
        <v>48</v>
      </c>
      <c r="W128" s="14">
        <v>31</v>
      </c>
      <c r="X128" s="14">
        <v>19</v>
      </c>
      <c r="Y128" s="14">
        <v>31.74</v>
      </c>
      <c r="Z128" s="14">
        <v>30.75</v>
      </c>
      <c r="AA128" s="14"/>
      <c r="AB128" s="14"/>
      <c r="AC128" s="14"/>
      <c r="AD128" s="14"/>
      <c r="AE128" s="14"/>
      <c r="AF128" s="14">
        <v>57.61</v>
      </c>
      <c r="AG128" s="14">
        <v>14.78</v>
      </c>
      <c r="AH128" s="13">
        <f>W128*0.44</f>
        <v>13.64</v>
      </c>
      <c r="AI128" s="14">
        <v>5</v>
      </c>
      <c r="AJ128" s="14">
        <v>9</v>
      </c>
      <c r="AK128" s="14"/>
      <c r="AL128" s="14">
        <v>9</v>
      </c>
      <c r="AM128" s="14">
        <v>15</v>
      </c>
      <c r="AN128" s="14">
        <v>3</v>
      </c>
      <c r="AO128" s="14">
        <v>7</v>
      </c>
      <c r="AP128" s="14">
        <v>6</v>
      </c>
      <c r="AQ128" s="14">
        <v>4</v>
      </c>
      <c r="AR128" s="14"/>
      <c r="AS128" s="14"/>
      <c r="AT128" s="14"/>
      <c r="AU128" s="14"/>
      <c r="AV128" s="14"/>
      <c r="AW128" s="14"/>
      <c r="AX128" s="14"/>
      <c r="AY128" s="14"/>
      <c r="AZ128" s="14"/>
      <c r="BA128" s="14" t="s">
        <v>519</v>
      </c>
      <c r="BB128" s="14"/>
      <c r="BC128" s="20">
        <v>17</v>
      </c>
      <c r="BD128" s="20">
        <v>8</v>
      </c>
      <c r="BE128" s="20">
        <v>21.47</v>
      </c>
      <c r="BF128" s="20">
        <v>33.67</v>
      </c>
      <c r="BG128" s="20"/>
      <c r="BH128" s="20"/>
      <c r="BI128" s="20"/>
      <c r="BJ128" s="20"/>
      <c r="BK128" s="20"/>
      <c r="BL128" s="20">
        <v>62.71</v>
      </c>
      <c r="BM128" s="20">
        <v>16.34</v>
      </c>
      <c r="BN128" s="21">
        <f>+BC128*0.77</f>
        <v>13.09</v>
      </c>
      <c r="BO128" s="20">
        <v>3</v>
      </c>
      <c r="BP128" s="20">
        <v>7</v>
      </c>
      <c r="BQ128" s="20"/>
      <c r="BR128" s="20">
        <v>5</v>
      </c>
      <c r="BS128" s="20">
        <v>9</v>
      </c>
      <c r="BT128" s="20">
        <v>1</v>
      </c>
      <c r="BU128" s="20">
        <v>4</v>
      </c>
      <c r="BV128" s="20">
        <v>3</v>
      </c>
      <c r="BW128" s="20">
        <v>2</v>
      </c>
      <c r="BX128" s="20"/>
      <c r="BY128" s="20"/>
      <c r="BZ128" s="20"/>
      <c r="CA128" s="20"/>
      <c r="CB128" s="20"/>
      <c r="CC128" s="20"/>
      <c r="CD128" s="20"/>
      <c r="CE128" s="20"/>
      <c r="CF128" s="20"/>
      <c r="CG128" s="20" t="s">
        <v>520</v>
      </c>
      <c r="CH128" s="20"/>
      <c r="CI128" s="26"/>
      <c r="CJ128" s="26"/>
      <c r="CK128" s="26"/>
      <c r="CL128" s="26"/>
      <c r="CM128" s="26"/>
      <c r="CN128" s="26"/>
      <c r="CO128" s="9"/>
    </row>
    <row r="129" spans="1:93" s="8" customFormat="1">
      <c r="A129" s="27">
        <v>103</v>
      </c>
      <c r="B129" s="15">
        <f t="shared" si="10"/>
        <v>103</v>
      </c>
      <c r="C129" s="5" t="s">
        <v>282</v>
      </c>
      <c r="D129" s="5" t="s">
        <v>283</v>
      </c>
      <c r="E129" s="5" t="str">
        <f t="shared" si="6"/>
        <v>Zhou, 2019</v>
      </c>
      <c r="F129" s="7">
        <v>2019</v>
      </c>
      <c r="G129" s="7" t="s">
        <v>95</v>
      </c>
      <c r="H129" s="10" t="s">
        <v>68</v>
      </c>
      <c r="I129" s="10" t="s">
        <v>96</v>
      </c>
      <c r="J129" s="10" t="s">
        <v>382</v>
      </c>
      <c r="K129" s="10" t="s">
        <v>383</v>
      </c>
      <c r="L129" s="6" t="s">
        <v>36</v>
      </c>
      <c r="M129" s="6" t="s">
        <v>675</v>
      </c>
      <c r="N129" s="10" t="s">
        <v>521</v>
      </c>
      <c r="O129" s="10" t="s">
        <v>56</v>
      </c>
      <c r="P129" s="10" t="s">
        <v>56</v>
      </c>
      <c r="Q129" s="7" t="s">
        <v>30</v>
      </c>
      <c r="R129" s="15" t="s">
        <v>32</v>
      </c>
      <c r="S129" s="7" t="s">
        <v>434</v>
      </c>
      <c r="T129" s="15" t="s">
        <v>434</v>
      </c>
      <c r="U129" s="7" t="s">
        <v>770</v>
      </c>
      <c r="V129" s="88">
        <f>274+64</f>
        <v>338</v>
      </c>
      <c r="W129" s="14">
        <v>274</v>
      </c>
      <c r="X129" s="13">
        <f>+W129*0.588</f>
        <v>161.11199999999999</v>
      </c>
      <c r="Y129" s="14">
        <v>29</v>
      </c>
      <c r="Z129" s="14"/>
      <c r="AA129" s="14">
        <v>14</v>
      </c>
      <c r="AB129" s="14">
        <v>184</v>
      </c>
      <c r="AC129" s="14"/>
      <c r="AD129" s="14"/>
      <c r="AE129" s="14"/>
      <c r="AF129" s="14">
        <v>62</v>
      </c>
      <c r="AG129" s="14"/>
      <c r="AH129" s="14">
        <f>+W129-190</f>
        <v>84</v>
      </c>
      <c r="AI129" s="14">
        <v>77</v>
      </c>
      <c r="AJ129" s="14"/>
      <c r="AK129" s="14"/>
      <c r="AL129" s="14"/>
      <c r="AM129" s="14"/>
      <c r="AN129" s="14"/>
      <c r="AO129" s="14"/>
      <c r="AP129" s="14"/>
      <c r="AQ129" s="14"/>
      <c r="AR129" s="14"/>
      <c r="AS129" s="14"/>
      <c r="AT129" s="14">
        <v>219</v>
      </c>
      <c r="AU129" s="14">
        <v>3</v>
      </c>
      <c r="AV129" s="14"/>
      <c r="AW129" s="14">
        <v>86</v>
      </c>
      <c r="AX129" s="14">
        <f>38+79</f>
        <v>117</v>
      </c>
      <c r="AY129" s="14"/>
      <c r="AZ129" s="14"/>
      <c r="BA129" s="14"/>
      <c r="BB129" s="14"/>
      <c r="BC129" s="20">
        <v>64</v>
      </c>
      <c r="BD129" s="20">
        <f>+BC129*0.125</f>
        <v>8</v>
      </c>
      <c r="BE129" s="20">
        <v>22.5</v>
      </c>
      <c r="BF129" s="20"/>
      <c r="BG129" s="20">
        <v>9</v>
      </c>
      <c r="BH129" s="20">
        <v>12</v>
      </c>
      <c r="BI129" s="20"/>
      <c r="BJ129" s="20"/>
      <c r="BK129" s="20"/>
      <c r="BL129" s="20">
        <v>62.5</v>
      </c>
      <c r="BM129" s="20"/>
      <c r="BN129" s="20">
        <f>+BC129-45</f>
        <v>19</v>
      </c>
      <c r="BO129" s="20">
        <v>4</v>
      </c>
      <c r="BP129" s="20"/>
      <c r="BQ129" s="20"/>
      <c r="BR129" s="20"/>
      <c r="BS129" s="20"/>
      <c r="BT129" s="20"/>
      <c r="BU129" s="20"/>
      <c r="BV129" s="20"/>
      <c r="BW129" s="20"/>
      <c r="BX129" s="20"/>
      <c r="BY129" s="20"/>
      <c r="BZ129" s="20">
        <v>53</v>
      </c>
      <c r="CA129" s="20">
        <v>1</v>
      </c>
      <c r="CB129" s="20"/>
      <c r="CC129" s="20">
        <v>1</v>
      </c>
      <c r="CD129" s="20">
        <f>48+9</f>
        <v>57</v>
      </c>
      <c r="CE129" s="20"/>
      <c r="CF129" s="20"/>
      <c r="CG129" s="20"/>
      <c r="CH129" s="20"/>
      <c r="CI129" s="26">
        <f>+(CJ129-CK129)/2</f>
        <v>8.5775000000000006</v>
      </c>
      <c r="CJ129" s="26">
        <v>21.731999999999999</v>
      </c>
      <c r="CK129" s="26">
        <v>4.577</v>
      </c>
      <c r="CL129" s="26"/>
      <c r="CM129" s="26"/>
      <c r="CN129" s="26"/>
      <c r="CO129" s="9"/>
    </row>
    <row r="130" spans="1:93" s="8" customFormat="1">
      <c r="A130" s="27">
        <v>104</v>
      </c>
      <c r="B130" s="15">
        <f t="shared" si="10"/>
        <v>104</v>
      </c>
      <c r="C130" s="27" t="s">
        <v>284</v>
      </c>
      <c r="D130" s="5" t="s">
        <v>285</v>
      </c>
      <c r="E130" s="5" t="str">
        <f t="shared" si="6"/>
        <v>Zhu, 2016</v>
      </c>
      <c r="F130" s="7">
        <v>2016</v>
      </c>
      <c r="G130" s="7" t="s">
        <v>95</v>
      </c>
      <c r="H130" s="10" t="s">
        <v>68</v>
      </c>
      <c r="I130" s="10" t="s">
        <v>96</v>
      </c>
      <c r="J130" s="31" t="s">
        <v>365</v>
      </c>
      <c r="K130" s="10" t="s">
        <v>671</v>
      </c>
      <c r="L130" s="10" t="s">
        <v>62</v>
      </c>
      <c r="M130" s="10" t="s">
        <v>643</v>
      </c>
      <c r="N130" s="10" t="s">
        <v>63</v>
      </c>
      <c r="O130" s="10" t="s">
        <v>42</v>
      </c>
      <c r="P130" s="10" t="s">
        <v>41</v>
      </c>
      <c r="Q130" s="7" t="s">
        <v>51</v>
      </c>
      <c r="R130" s="15" t="s">
        <v>52</v>
      </c>
      <c r="S130" s="7" t="s">
        <v>429</v>
      </c>
      <c r="T130" s="15" t="s">
        <v>771</v>
      </c>
      <c r="U130" s="7" t="s">
        <v>772</v>
      </c>
      <c r="V130" s="88">
        <v>64</v>
      </c>
      <c r="W130" s="14">
        <v>22</v>
      </c>
      <c r="X130" s="14">
        <v>6</v>
      </c>
      <c r="Y130" s="14">
        <v>25.7</v>
      </c>
      <c r="Z130" s="14">
        <v>23</v>
      </c>
      <c r="AA130" s="14"/>
      <c r="AB130" s="14"/>
      <c r="AC130" s="14"/>
      <c r="AD130" s="14"/>
      <c r="AE130" s="14"/>
      <c r="AF130" s="14">
        <v>63.9</v>
      </c>
      <c r="AG130" s="14">
        <v>16.899999999999999</v>
      </c>
      <c r="AH130" s="14">
        <v>7</v>
      </c>
      <c r="AI130" s="14"/>
      <c r="AJ130" s="14"/>
      <c r="AK130" s="14"/>
      <c r="AL130" s="14">
        <v>10</v>
      </c>
      <c r="AM130" s="14"/>
      <c r="AN130" s="14">
        <v>5</v>
      </c>
      <c r="AO130" s="14">
        <v>3</v>
      </c>
      <c r="AP130" s="14">
        <v>3</v>
      </c>
      <c r="AQ130" s="14">
        <v>8</v>
      </c>
      <c r="AR130" s="14">
        <v>6</v>
      </c>
      <c r="AS130" s="14"/>
      <c r="AT130" s="14"/>
      <c r="AU130" s="14"/>
      <c r="AV130" s="14">
        <v>12</v>
      </c>
      <c r="AW130" s="14">
        <v>8</v>
      </c>
      <c r="AX130" s="14">
        <v>10</v>
      </c>
      <c r="AY130" s="14"/>
      <c r="AZ130" s="14"/>
      <c r="BA130" s="14"/>
      <c r="BB130" s="14"/>
      <c r="BC130" s="20">
        <v>42</v>
      </c>
      <c r="BD130" s="20">
        <v>6</v>
      </c>
      <c r="BE130" s="20">
        <v>15.3</v>
      </c>
      <c r="BF130" s="20">
        <v>10.7</v>
      </c>
      <c r="BG130" s="20"/>
      <c r="BH130" s="20"/>
      <c r="BI130" s="20"/>
      <c r="BJ130" s="20"/>
      <c r="BK130" s="20"/>
      <c r="BL130" s="20">
        <v>51.1</v>
      </c>
      <c r="BM130" s="20">
        <v>17.899999999999999</v>
      </c>
      <c r="BN130" s="20">
        <v>13</v>
      </c>
      <c r="BO130" s="20"/>
      <c r="BP130" s="20"/>
      <c r="BQ130" s="20"/>
      <c r="BR130" s="20">
        <v>5</v>
      </c>
      <c r="BS130" s="20"/>
      <c r="BT130" s="20">
        <v>9</v>
      </c>
      <c r="BU130" s="20">
        <v>7</v>
      </c>
      <c r="BV130" s="20">
        <v>6</v>
      </c>
      <c r="BW130" s="20">
        <v>14</v>
      </c>
      <c r="BX130" s="20">
        <v>6</v>
      </c>
      <c r="BY130" s="20"/>
      <c r="BZ130" s="20"/>
      <c r="CA130" s="20"/>
      <c r="CB130" s="20">
        <v>18</v>
      </c>
      <c r="CC130" s="20">
        <v>3</v>
      </c>
      <c r="CD130" s="20">
        <v>5</v>
      </c>
      <c r="CE130" s="20"/>
      <c r="CF130" s="20"/>
      <c r="CG130" s="20"/>
      <c r="CH130" s="20"/>
      <c r="CI130" s="26"/>
      <c r="CJ130" s="26"/>
      <c r="CK130" s="26"/>
      <c r="CL130" s="26"/>
      <c r="CM130" s="26"/>
      <c r="CN130" s="26"/>
      <c r="CO130" s="9"/>
    </row>
    <row r="131" spans="1:93" s="8" customFormat="1">
      <c r="A131" s="27">
        <v>105</v>
      </c>
      <c r="B131" s="15">
        <f t="shared" si="10"/>
        <v>105</v>
      </c>
      <c r="C131" s="27" t="s">
        <v>958</v>
      </c>
      <c r="D131" s="5" t="s">
        <v>1058</v>
      </c>
      <c r="E131" s="5" t="str">
        <f t="shared" si="6"/>
        <v>Zhu, 2021</v>
      </c>
      <c r="F131" s="7">
        <v>2021</v>
      </c>
      <c r="G131" s="7" t="s">
        <v>95</v>
      </c>
      <c r="H131" s="10" t="s">
        <v>68</v>
      </c>
      <c r="I131" s="10" t="s">
        <v>96</v>
      </c>
      <c r="J131" s="31" t="s">
        <v>1041</v>
      </c>
      <c r="K131" s="10" t="s">
        <v>1042</v>
      </c>
      <c r="L131" s="10"/>
      <c r="M131" s="10" t="s">
        <v>176</v>
      </c>
      <c r="N131" s="10"/>
      <c r="O131" s="10" t="s">
        <v>45</v>
      </c>
      <c r="P131" s="10" t="s">
        <v>41</v>
      </c>
      <c r="Q131" s="7" t="s">
        <v>30</v>
      </c>
      <c r="R131" s="15" t="s">
        <v>32</v>
      </c>
      <c r="S131" s="7" t="s">
        <v>429</v>
      </c>
      <c r="T131" s="15" t="s">
        <v>773</v>
      </c>
      <c r="U131" s="7" t="s">
        <v>774</v>
      </c>
      <c r="V131" s="88">
        <f>727+152</f>
        <v>879</v>
      </c>
      <c r="W131" s="14">
        <v>152</v>
      </c>
      <c r="X131" s="14">
        <v>87</v>
      </c>
      <c r="Y131" s="14">
        <v>35</v>
      </c>
      <c r="Z131" s="14"/>
      <c r="AA131" s="14">
        <v>13</v>
      </c>
      <c r="AB131" s="14">
        <v>98</v>
      </c>
      <c r="AC131" s="14"/>
      <c r="AD131" s="14"/>
      <c r="AE131" s="14"/>
      <c r="AF131" s="14">
        <v>59.5</v>
      </c>
      <c r="AG131" s="14"/>
      <c r="AH131" s="14">
        <f>152-115</f>
        <v>37</v>
      </c>
      <c r="AI131" s="14"/>
      <c r="AJ131" s="14"/>
      <c r="AK131" s="14"/>
      <c r="AL131" s="14"/>
      <c r="AM131" s="14"/>
      <c r="AN131" s="14"/>
      <c r="AO131" s="14"/>
      <c r="AP131" s="14"/>
      <c r="AQ131" s="14"/>
      <c r="AR131" s="14"/>
      <c r="AS131" s="14"/>
      <c r="AT131" s="14"/>
      <c r="AU131" s="14">
        <v>2</v>
      </c>
      <c r="AV131" s="14"/>
      <c r="AW131" s="14"/>
      <c r="AX131" s="14"/>
      <c r="AY131" s="14"/>
      <c r="AZ131" s="14"/>
      <c r="BA131" s="14">
        <v>12</v>
      </c>
      <c r="BB131" s="14">
        <v>2</v>
      </c>
      <c r="BC131" s="20">
        <v>727</v>
      </c>
      <c r="BD131" s="20">
        <v>133</v>
      </c>
      <c r="BE131" s="20">
        <v>20</v>
      </c>
      <c r="BF131" s="20"/>
      <c r="BG131" s="20">
        <v>13</v>
      </c>
      <c r="BH131" s="20">
        <v>135</v>
      </c>
      <c r="BI131" s="20"/>
      <c r="BJ131" s="20"/>
      <c r="BK131" s="20"/>
      <c r="BL131" s="20">
        <v>60</v>
      </c>
      <c r="BM131" s="20"/>
      <c r="BN131" s="20">
        <f>727-434</f>
        <v>293</v>
      </c>
      <c r="BO131" s="20"/>
      <c r="BP131" s="20"/>
      <c r="BQ131" s="20"/>
      <c r="BR131" s="20"/>
      <c r="BS131" s="20"/>
      <c r="BT131" s="20"/>
      <c r="BU131" s="20"/>
      <c r="BV131" s="20"/>
      <c r="BW131" s="20"/>
      <c r="BX131" s="20"/>
      <c r="BY131" s="20"/>
      <c r="BZ131" s="20"/>
      <c r="CA131" s="20">
        <v>1</v>
      </c>
      <c r="CB131" s="20"/>
      <c r="CC131" s="20"/>
      <c r="CD131" s="20"/>
      <c r="CE131" s="20"/>
      <c r="CF131" s="20"/>
      <c r="CG131" s="20">
        <v>9</v>
      </c>
      <c r="CH131" s="20">
        <v>2</v>
      </c>
      <c r="CI131" s="26"/>
      <c r="CJ131" s="26"/>
      <c r="CK131" s="26"/>
      <c r="CL131" s="26"/>
      <c r="CM131" s="26"/>
      <c r="CN131" s="26"/>
      <c r="CO131" s="9"/>
    </row>
    <row r="132" spans="1:93" s="8" customFormat="1">
      <c r="A132" s="27">
        <v>106</v>
      </c>
      <c r="B132" s="15">
        <f t="shared" si="10"/>
        <v>106</v>
      </c>
      <c r="C132" s="27" t="s">
        <v>286</v>
      </c>
      <c r="D132" s="5" t="s">
        <v>287</v>
      </c>
      <c r="E132" s="5" t="str">
        <f t="shared" si="6"/>
        <v>Zlatian, 2018</v>
      </c>
      <c r="F132" s="7">
        <v>2018</v>
      </c>
      <c r="G132" s="7" t="s">
        <v>384</v>
      </c>
      <c r="H132" s="10" t="s">
        <v>68</v>
      </c>
      <c r="I132" s="10" t="s">
        <v>83</v>
      </c>
      <c r="J132" s="10" t="s">
        <v>385</v>
      </c>
      <c r="K132" s="10" t="s">
        <v>522</v>
      </c>
      <c r="L132" s="10" t="s">
        <v>62</v>
      </c>
      <c r="M132" s="10" t="s">
        <v>643</v>
      </c>
      <c r="N132" s="10" t="s">
        <v>63</v>
      </c>
      <c r="O132" s="10" t="s">
        <v>42</v>
      </c>
      <c r="P132" s="10" t="s">
        <v>41</v>
      </c>
      <c r="Q132" s="7" t="s">
        <v>51</v>
      </c>
      <c r="R132" s="15" t="s">
        <v>52</v>
      </c>
      <c r="S132" s="7" t="s">
        <v>429</v>
      </c>
      <c r="T132" s="15" t="s">
        <v>771</v>
      </c>
      <c r="U132" s="7" t="s">
        <v>772</v>
      </c>
      <c r="V132" s="88">
        <v>63</v>
      </c>
      <c r="W132" s="14">
        <v>23</v>
      </c>
      <c r="X132" s="14"/>
      <c r="Y132" s="14"/>
      <c r="Z132" s="14"/>
      <c r="AA132" s="14"/>
      <c r="AB132" s="14">
        <v>14</v>
      </c>
      <c r="AC132" s="14"/>
      <c r="AD132" s="14"/>
      <c r="AE132" s="14"/>
      <c r="AF132" s="14"/>
      <c r="AG132" s="14"/>
      <c r="AH132" s="14">
        <v>8</v>
      </c>
      <c r="AI132" s="14"/>
      <c r="AJ132" s="14"/>
      <c r="AK132" s="14"/>
      <c r="AL132" s="14"/>
      <c r="AM132" s="14"/>
      <c r="AN132" s="14"/>
      <c r="AO132" s="14"/>
      <c r="AP132" s="14"/>
      <c r="AQ132" s="14"/>
      <c r="AR132" s="14"/>
      <c r="AS132" s="14"/>
      <c r="AT132" s="14"/>
      <c r="AU132" s="14"/>
      <c r="AV132" s="14"/>
      <c r="AW132" s="14"/>
      <c r="AX132" s="14"/>
      <c r="AY132" s="14"/>
      <c r="AZ132" s="14"/>
      <c r="BA132" s="14"/>
      <c r="BB132" s="14"/>
      <c r="BC132" s="20">
        <f>63-23</f>
        <v>40</v>
      </c>
      <c r="BD132" s="20"/>
      <c r="BE132" s="20"/>
      <c r="BF132" s="20"/>
      <c r="BG132" s="20"/>
      <c r="BH132" s="20">
        <v>19</v>
      </c>
      <c r="BI132" s="20"/>
      <c r="BJ132" s="20"/>
      <c r="BK132" s="20"/>
      <c r="BL132" s="20"/>
      <c r="BM132" s="20"/>
      <c r="BN132" s="20">
        <v>21</v>
      </c>
      <c r="BO132" s="20"/>
      <c r="BP132" s="20"/>
      <c r="BQ132" s="20"/>
      <c r="BR132" s="20"/>
      <c r="BS132" s="20"/>
      <c r="BT132" s="20"/>
      <c r="BU132" s="20"/>
      <c r="BV132" s="20"/>
      <c r="BW132" s="20"/>
      <c r="BX132" s="20"/>
      <c r="BY132" s="20"/>
      <c r="BZ132" s="20"/>
      <c r="CA132" s="20"/>
      <c r="CB132" s="20"/>
      <c r="CC132" s="20"/>
      <c r="CD132" s="20"/>
      <c r="CE132" s="20"/>
      <c r="CF132" s="20"/>
      <c r="CG132" s="20"/>
      <c r="CH132" s="20"/>
      <c r="CI132" s="26"/>
      <c r="CJ132" s="26"/>
      <c r="CK132" s="26"/>
      <c r="CL132" s="26"/>
      <c r="CM132" s="26"/>
      <c r="CN132" s="26"/>
      <c r="CO132" s="9"/>
    </row>
    <row r="133" spans="1:93" s="8" customFormat="1">
      <c r="A133" s="27">
        <v>107</v>
      </c>
      <c r="B133" s="15">
        <f t="shared" si="10"/>
        <v>107</v>
      </c>
      <c r="C133" s="27" t="s">
        <v>288</v>
      </c>
      <c r="D133" s="5" t="s">
        <v>289</v>
      </c>
      <c r="E133" s="5" t="str">
        <f t="shared" si="6"/>
        <v>Zou, 2020</v>
      </c>
      <c r="F133" s="7">
        <v>2020</v>
      </c>
      <c r="G133" s="7" t="s">
        <v>95</v>
      </c>
      <c r="H133" s="10" t="s">
        <v>68</v>
      </c>
      <c r="I133" s="10" t="s">
        <v>96</v>
      </c>
      <c r="J133" s="10" t="s">
        <v>386</v>
      </c>
      <c r="K133" s="10" t="s">
        <v>387</v>
      </c>
      <c r="L133" s="10" t="s">
        <v>169</v>
      </c>
      <c r="M133" s="10" t="s">
        <v>176</v>
      </c>
      <c r="N133" s="10" t="s">
        <v>418</v>
      </c>
      <c r="O133" s="10" t="s">
        <v>45</v>
      </c>
      <c r="P133" s="10" t="s">
        <v>41</v>
      </c>
      <c r="Q133" s="7" t="s">
        <v>30</v>
      </c>
      <c r="R133" s="15" t="s">
        <v>32</v>
      </c>
      <c r="S133" s="7" t="s">
        <v>429</v>
      </c>
      <c r="T133" s="15" t="s">
        <v>798</v>
      </c>
      <c r="U133" s="7" t="s">
        <v>799</v>
      </c>
      <c r="V133" s="88">
        <f>+W133+BC133</f>
        <v>398</v>
      </c>
      <c r="W133" s="14">
        <v>31</v>
      </c>
      <c r="X133" s="14">
        <v>17</v>
      </c>
      <c r="Y133" s="14"/>
      <c r="Z133" s="14"/>
      <c r="AA133" s="14"/>
      <c r="AB133" s="14">
        <v>20</v>
      </c>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20">
        <f>342+56-W133</f>
        <v>367</v>
      </c>
      <c r="BD133" s="20">
        <f>56-17</f>
        <v>39</v>
      </c>
      <c r="BE133" s="20"/>
      <c r="BF133" s="20"/>
      <c r="BG133" s="20"/>
      <c r="BH133" s="20">
        <f>81-20</f>
        <v>61</v>
      </c>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6">
        <v>2.2280000000000002</v>
      </c>
      <c r="CJ133" s="26">
        <v>4.9459999999999997</v>
      </c>
      <c r="CK133" s="26">
        <v>1.0029999999999999</v>
      </c>
      <c r="CL133" s="26">
        <v>1.956</v>
      </c>
      <c r="CM133" s="26">
        <v>3.9020000000000001</v>
      </c>
      <c r="CN133" s="26">
        <v>1.0620000000000001</v>
      </c>
      <c r="CO133" s="9"/>
    </row>
    <row r="134" spans="1:93" s="8" customFormat="1">
      <c r="A134" s="27">
        <v>108</v>
      </c>
      <c r="B134" s="15">
        <f>+A134</f>
        <v>108</v>
      </c>
      <c r="C134" s="27" t="s">
        <v>292</v>
      </c>
      <c r="D134" s="5" t="s">
        <v>293</v>
      </c>
      <c r="E134" s="5" t="str">
        <f>+CONCATENATE(LEFT(D134,FIND(" ",D134,1)),F134)</f>
        <v>Zhang, 2018</v>
      </c>
      <c r="F134" s="7">
        <v>2018</v>
      </c>
      <c r="G134" s="7" t="s">
        <v>95</v>
      </c>
      <c r="H134" s="10" t="s">
        <v>68</v>
      </c>
      <c r="I134" s="10" t="s">
        <v>96</v>
      </c>
      <c r="J134" s="10" t="s">
        <v>365</v>
      </c>
      <c r="K134" s="10" t="s">
        <v>672</v>
      </c>
      <c r="L134" s="10" t="s">
        <v>169</v>
      </c>
      <c r="M134" s="10" t="s">
        <v>176</v>
      </c>
      <c r="N134" s="10" t="s">
        <v>547</v>
      </c>
      <c r="O134" s="10" t="s">
        <v>549</v>
      </c>
      <c r="P134" s="10" t="s">
        <v>41</v>
      </c>
      <c r="Q134" s="7" t="s">
        <v>30</v>
      </c>
      <c r="R134" s="15" t="s">
        <v>32</v>
      </c>
      <c r="S134" s="7" t="s">
        <v>434</v>
      </c>
      <c r="T134" s="15" t="s">
        <v>434</v>
      </c>
      <c r="U134" s="7" t="s">
        <v>770</v>
      </c>
      <c r="V134" s="88">
        <v>110</v>
      </c>
      <c r="W134" s="14">
        <v>77</v>
      </c>
      <c r="X134" s="14">
        <v>10</v>
      </c>
      <c r="Y134" s="14"/>
      <c r="Z134" s="14"/>
      <c r="AA134" s="14"/>
      <c r="AB134" s="14"/>
      <c r="AC134" s="14"/>
      <c r="AD134" s="14"/>
      <c r="AE134" s="14"/>
      <c r="AF134" s="14"/>
      <c r="AG134" s="14"/>
      <c r="AH134" s="14">
        <v>33</v>
      </c>
      <c r="AI134" s="14">
        <v>6</v>
      </c>
      <c r="AJ134" s="14"/>
      <c r="AK134" s="14">
        <v>0</v>
      </c>
      <c r="AL134" s="14"/>
      <c r="AM134" s="14"/>
      <c r="AN134" s="14"/>
      <c r="AO134" s="14"/>
      <c r="AP134" s="14"/>
      <c r="AQ134" s="13">
        <f>0.026*W134</f>
        <v>2.0019999999999998</v>
      </c>
      <c r="AR134" s="14"/>
      <c r="AS134" s="14"/>
      <c r="AT134" s="14"/>
      <c r="AU134" s="14"/>
      <c r="AV134" s="14">
        <v>4</v>
      </c>
      <c r="AW134" s="14"/>
      <c r="AX134" s="14">
        <v>6</v>
      </c>
      <c r="AY134" s="14"/>
      <c r="AZ134" s="14">
        <v>17</v>
      </c>
      <c r="BA134" s="14"/>
      <c r="BB134" s="14"/>
      <c r="BC134" s="20">
        <v>33</v>
      </c>
      <c r="BD134" s="20">
        <v>10</v>
      </c>
      <c r="BE134" s="20"/>
      <c r="BF134" s="20"/>
      <c r="BG134" s="20"/>
      <c r="BH134" s="20"/>
      <c r="BI134" s="20"/>
      <c r="BJ134" s="20"/>
      <c r="BK134" s="20"/>
      <c r="BL134" s="20"/>
      <c r="BM134" s="20"/>
      <c r="BN134" s="20">
        <v>13</v>
      </c>
      <c r="BO134" s="20">
        <v>1</v>
      </c>
      <c r="BP134" s="20"/>
      <c r="BQ134" s="20">
        <v>0</v>
      </c>
      <c r="BR134" s="20"/>
      <c r="BS134" s="20"/>
      <c r="BT134" s="20"/>
      <c r="BU134" s="20"/>
      <c r="BV134" s="20"/>
      <c r="BW134" s="20">
        <f>0.061*BC134</f>
        <v>2.0129999999999999</v>
      </c>
      <c r="BX134" s="20"/>
      <c r="BY134" s="20"/>
      <c r="BZ134" s="20"/>
      <c r="CA134" s="20"/>
      <c r="CB134" s="20">
        <v>2</v>
      </c>
      <c r="CC134" s="20"/>
      <c r="CD134" s="20">
        <v>0</v>
      </c>
      <c r="CE134" s="20"/>
      <c r="CF134" s="20">
        <v>3</v>
      </c>
      <c r="CG134" s="20"/>
      <c r="CH134" s="20"/>
      <c r="CI134" s="26"/>
      <c r="CJ134" s="26"/>
      <c r="CK134" s="26"/>
      <c r="CL134" s="26"/>
      <c r="CM134" s="26"/>
      <c r="CN134" s="26"/>
      <c r="CO134" s="9" t="s">
        <v>551</v>
      </c>
    </row>
    <row r="135" spans="1:93" s="8" customFormat="1">
      <c r="A135" s="42">
        <v>109</v>
      </c>
      <c r="B135" s="47">
        <f>+A135</f>
        <v>109</v>
      </c>
      <c r="C135" s="42" t="s">
        <v>294</v>
      </c>
      <c r="D135" s="43" t="s">
        <v>295</v>
      </c>
      <c r="E135" s="43" t="str">
        <f>+CONCATENATE(LEFT(D135,FIND(" ",D135,1)),F135)</f>
        <v>Zhang, 2017</v>
      </c>
      <c r="F135" s="44">
        <v>2017</v>
      </c>
      <c r="G135" s="44" t="s">
        <v>95</v>
      </c>
      <c r="H135" s="45" t="s">
        <v>68</v>
      </c>
      <c r="I135" s="45" t="s">
        <v>96</v>
      </c>
      <c r="J135" s="45" t="s">
        <v>365</v>
      </c>
      <c r="K135" s="45" t="s">
        <v>673</v>
      </c>
      <c r="L135" s="133" t="s">
        <v>36</v>
      </c>
      <c r="M135" s="133" t="s">
        <v>675</v>
      </c>
      <c r="N135" s="45" t="s">
        <v>548</v>
      </c>
      <c r="O135" s="45" t="s">
        <v>550</v>
      </c>
      <c r="P135" s="46" t="s">
        <v>56</v>
      </c>
      <c r="Q135" s="44" t="s">
        <v>30</v>
      </c>
      <c r="R135" s="47" t="s">
        <v>32</v>
      </c>
      <c r="S135" s="44" t="s">
        <v>434</v>
      </c>
      <c r="T135" s="47" t="s">
        <v>781</v>
      </c>
      <c r="U135" s="44" t="s">
        <v>782</v>
      </c>
      <c r="V135" s="134">
        <v>78</v>
      </c>
      <c r="W135" s="48">
        <v>49</v>
      </c>
      <c r="X135" s="48">
        <v>40</v>
      </c>
      <c r="Y135" s="48"/>
      <c r="Z135" s="48"/>
      <c r="AA135" s="48">
        <v>10</v>
      </c>
      <c r="AB135" s="48">
        <v>10</v>
      </c>
      <c r="AC135" s="48"/>
      <c r="AD135" s="48"/>
      <c r="AE135" s="48"/>
      <c r="AF135" s="48">
        <v>59</v>
      </c>
      <c r="AG135" s="48">
        <v>19</v>
      </c>
      <c r="AH135" s="48">
        <v>16</v>
      </c>
      <c r="AI135" s="48">
        <v>20</v>
      </c>
      <c r="AJ135" s="48"/>
      <c r="AK135" s="48">
        <v>0</v>
      </c>
      <c r="AL135" s="48">
        <v>7</v>
      </c>
      <c r="AM135" s="48">
        <v>9</v>
      </c>
      <c r="AN135" s="48">
        <v>3</v>
      </c>
      <c r="AO135" s="48">
        <v>8</v>
      </c>
      <c r="AP135" s="48">
        <v>3</v>
      </c>
      <c r="AQ135" s="48">
        <v>4</v>
      </c>
      <c r="AR135" s="48">
        <v>6</v>
      </c>
      <c r="AS135" s="48"/>
      <c r="AT135" s="48"/>
      <c r="AU135" s="48"/>
      <c r="AV135" s="48">
        <v>44</v>
      </c>
      <c r="AW135" s="48">
        <v>44</v>
      </c>
      <c r="AX135" s="48">
        <v>37</v>
      </c>
      <c r="AY135" s="48"/>
      <c r="AZ135" s="48">
        <v>0</v>
      </c>
      <c r="BA135" s="48"/>
      <c r="BB135" s="48"/>
      <c r="BC135" s="49">
        <v>29</v>
      </c>
      <c r="BD135" s="49">
        <v>6</v>
      </c>
      <c r="BE135" s="49"/>
      <c r="BF135" s="49"/>
      <c r="BG135" s="49">
        <v>12</v>
      </c>
      <c r="BH135" s="49">
        <v>12</v>
      </c>
      <c r="BI135" s="49"/>
      <c r="BJ135" s="49"/>
      <c r="BK135" s="49"/>
      <c r="BL135" s="49">
        <v>59</v>
      </c>
      <c r="BM135" s="49">
        <v>18</v>
      </c>
      <c r="BN135" s="49">
        <v>11</v>
      </c>
      <c r="BO135" s="49">
        <v>15</v>
      </c>
      <c r="BP135" s="49"/>
      <c r="BQ135" s="49">
        <v>0</v>
      </c>
      <c r="BR135" s="49">
        <v>5</v>
      </c>
      <c r="BS135" s="49">
        <v>8</v>
      </c>
      <c r="BT135" s="49">
        <v>1</v>
      </c>
      <c r="BU135" s="49">
        <v>10</v>
      </c>
      <c r="BV135" s="49">
        <v>3</v>
      </c>
      <c r="BW135" s="49">
        <v>1</v>
      </c>
      <c r="BX135" s="49">
        <v>0</v>
      </c>
      <c r="BY135" s="49">
        <v>0</v>
      </c>
      <c r="BZ135" s="49"/>
      <c r="CA135" s="49"/>
      <c r="CB135" s="49">
        <v>22</v>
      </c>
      <c r="CC135" s="49">
        <v>15</v>
      </c>
      <c r="CD135" s="49">
        <v>15</v>
      </c>
      <c r="CE135" s="49"/>
      <c r="CF135" s="49"/>
      <c r="CG135" s="49"/>
      <c r="CH135" s="49"/>
      <c r="CI135" s="51"/>
      <c r="CJ135" s="51"/>
      <c r="CK135" s="51"/>
      <c r="CL135" s="51"/>
      <c r="CM135" s="51"/>
      <c r="CN135" s="51"/>
      <c r="CO135" s="9"/>
    </row>
    <row r="139" spans="1:93">
      <c r="F139" s="124"/>
    </row>
    <row r="140" spans="1:93">
      <c r="I140" s="131"/>
    </row>
    <row r="141" spans="1:93">
      <c r="I141" s="131"/>
    </row>
    <row r="142" spans="1:93">
      <c r="I142" s="131"/>
    </row>
    <row r="143" spans="1:93">
      <c r="I143" s="131"/>
    </row>
  </sheetData>
  <autoFilter ref="A2:CS135" xr:uid="{BB6D0CAB-6CB9-D443-A0A7-5A8020ABAA46}">
    <filterColumn colId="92" showButton="0"/>
    <filterColumn colId="93" showButton="0"/>
    <filterColumn colId="94" showButton="0"/>
    <filterColumn colId="95" showButton="0"/>
  </autoFilter>
  <mergeCells count="26">
    <mergeCell ref="A1:A2"/>
    <mergeCell ref="C1:C2"/>
    <mergeCell ref="V1:V2"/>
    <mergeCell ref="H1:H2"/>
    <mergeCell ref="I1:I2"/>
    <mergeCell ref="K1:K2"/>
    <mergeCell ref="Q1:Q2"/>
    <mergeCell ref="L1:L2"/>
    <mergeCell ref="G1:G2"/>
    <mergeCell ref="F1:F2"/>
    <mergeCell ref="D1:D2"/>
    <mergeCell ref="J1:J2"/>
    <mergeCell ref="S1:S2"/>
    <mergeCell ref="E1:E2"/>
    <mergeCell ref="B1:B2"/>
    <mergeCell ref="M1:M2"/>
    <mergeCell ref="CO1:CS2"/>
    <mergeCell ref="CI1:CK1"/>
    <mergeCell ref="CL1:CN1"/>
    <mergeCell ref="N1:N2"/>
    <mergeCell ref="O1:O2"/>
    <mergeCell ref="P1:P2"/>
    <mergeCell ref="R1:R2"/>
    <mergeCell ref="BC1:CH1"/>
    <mergeCell ref="W1:BB1"/>
    <mergeCell ref="T1:U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EFB17-2299-ED48-A8F1-C060C90B1447}">
  <sheetPr codeName="Sheet2"/>
  <dimension ref="A1:HJ120"/>
  <sheetViews>
    <sheetView zoomScale="88" zoomScaleNormal="88" workbookViewId="0">
      <pane xSplit="1" topLeftCell="B1" activePane="topRight" state="frozen"/>
      <selection pane="topRight" activeCell="B5" sqref="B5:B7"/>
    </sheetView>
  </sheetViews>
  <sheetFormatPr baseColWidth="10" defaultColWidth="8.83203125" defaultRowHeight="20"/>
  <cols>
    <col min="1" max="1" width="88.33203125" style="71" customWidth="1"/>
    <col min="2" max="2" width="23.1640625" style="83" customWidth="1"/>
    <col min="3" max="3" width="7" style="79" customWidth="1"/>
    <col min="4" max="4" width="23.1640625" style="77" customWidth="1"/>
    <col min="5" max="5" width="7.5" style="79" customWidth="1"/>
    <col min="6" max="6" width="23.1640625" style="77" customWidth="1"/>
    <col min="7" max="7" width="9.83203125" style="77" customWidth="1"/>
    <col min="8" max="8" width="22.5" style="77" customWidth="1"/>
    <col min="9" max="9" width="23.1640625" style="77" customWidth="1"/>
    <col min="10" max="10" width="23.1640625" style="78" customWidth="1"/>
    <col min="11" max="11" width="9.33203125" style="78" customWidth="1"/>
    <col min="12" max="12" width="23.1640625" style="78" customWidth="1"/>
    <col min="13" max="13" width="9.6640625" style="78" customWidth="1"/>
    <col min="14" max="14" width="23.1640625" style="78" customWidth="1"/>
    <col min="15" max="17" width="23.1640625" style="79" customWidth="1"/>
    <col min="18" max="18" width="7.5" style="79" customWidth="1"/>
    <col min="19" max="19" width="18.1640625" style="79" customWidth="1"/>
    <col min="20" max="110" width="23.1640625" style="79" customWidth="1"/>
    <col min="111" max="111" width="23.1640625" style="103" customWidth="1"/>
    <col min="112" max="113" width="12" style="79" customWidth="1"/>
    <col min="114" max="114" width="4.6640625" style="79" customWidth="1"/>
    <col min="115" max="115" width="16.6640625" style="79" customWidth="1"/>
    <col min="116" max="119" width="12" style="79" customWidth="1"/>
    <col min="120" max="120" width="4.5" style="79" customWidth="1"/>
    <col min="121" max="124" width="12" style="79" customWidth="1"/>
    <col min="125" max="125" width="5" style="79" customWidth="1"/>
    <col min="126" max="129" width="12" style="79" customWidth="1"/>
    <col min="130" max="167" width="12" style="71" customWidth="1"/>
    <col min="168" max="168" width="16.5" style="71" customWidth="1"/>
    <col min="169" max="169" width="12.6640625" style="71" customWidth="1"/>
    <col min="170" max="170" width="14.1640625" style="71" customWidth="1"/>
    <col min="171" max="177" width="12.6640625" style="71" customWidth="1"/>
    <col min="178" max="178" width="12" style="79" customWidth="1"/>
    <col min="179" max="203" width="12.6640625" style="71" customWidth="1"/>
    <col min="204" max="209" width="12.5" style="71" customWidth="1"/>
    <col min="210" max="210" width="21.1640625" style="71" customWidth="1"/>
    <col min="211" max="214" width="8.83203125" style="71"/>
    <col min="215" max="215" width="18" style="71" customWidth="1"/>
    <col min="216" max="216" width="11.83203125" style="71" customWidth="1"/>
    <col min="217" max="217" width="13.33203125" style="71" customWidth="1"/>
    <col min="218" max="218" width="13" style="71" customWidth="1"/>
    <col min="219" max="16384" width="8.83203125" style="71"/>
  </cols>
  <sheetData>
    <row r="1" spans="1:218" ht="42" customHeight="1">
      <c r="A1" s="162" t="s">
        <v>890</v>
      </c>
      <c r="B1" s="164" t="s">
        <v>894</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6"/>
      <c r="DG1" s="110"/>
      <c r="DH1" s="104" t="s">
        <v>895</v>
      </c>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14" t="s">
        <v>897</v>
      </c>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row>
    <row r="2" spans="1:218" ht="84" customHeight="1" thickBot="1">
      <c r="A2" s="163"/>
      <c r="B2" s="73" t="s">
        <v>552</v>
      </c>
      <c r="C2" s="90" t="s">
        <v>34</v>
      </c>
      <c r="D2" s="73" t="s">
        <v>553</v>
      </c>
      <c r="E2" s="90" t="s">
        <v>34</v>
      </c>
      <c r="F2" s="73" t="s">
        <v>554</v>
      </c>
      <c r="G2" s="90" t="s">
        <v>34</v>
      </c>
      <c r="H2" s="73" t="s">
        <v>1043</v>
      </c>
      <c r="I2" s="73" t="s">
        <v>555</v>
      </c>
      <c r="J2" s="73" t="s">
        <v>558</v>
      </c>
      <c r="K2" s="90" t="s">
        <v>34</v>
      </c>
      <c r="L2" s="73" t="s">
        <v>559</v>
      </c>
      <c r="M2" s="90" t="s">
        <v>34</v>
      </c>
      <c r="N2" s="73" t="s">
        <v>560</v>
      </c>
      <c r="O2" s="73" t="s">
        <v>561</v>
      </c>
      <c r="P2" s="73" t="s">
        <v>1044</v>
      </c>
      <c r="Q2" s="73" t="s">
        <v>562</v>
      </c>
      <c r="R2" s="90" t="s">
        <v>34</v>
      </c>
      <c r="S2" s="73" t="s">
        <v>1045</v>
      </c>
      <c r="T2" s="73" t="s">
        <v>563</v>
      </c>
      <c r="U2" s="73" t="s">
        <v>564</v>
      </c>
      <c r="V2" s="73" t="s">
        <v>565</v>
      </c>
      <c r="W2" s="73" t="s">
        <v>567</v>
      </c>
      <c r="X2" s="73" t="s">
        <v>568</v>
      </c>
      <c r="Y2" s="73" t="s">
        <v>569</v>
      </c>
      <c r="Z2" s="73" t="s">
        <v>1046</v>
      </c>
      <c r="AA2" s="73" t="s">
        <v>570</v>
      </c>
      <c r="AB2" s="73" t="s">
        <v>571</v>
      </c>
      <c r="AC2" s="73" t="s">
        <v>572</v>
      </c>
      <c r="AD2" s="73" t="s">
        <v>573</v>
      </c>
      <c r="AE2" s="73" t="s">
        <v>575</v>
      </c>
      <c r="AF2" s="73" t="s">
        <v>576</v>
      </c>
      <c r="AG2" s="73" t="s">
        <v>577</v>
      </c>
      <c r="AH2" s="73" t="s">
        <v>1047</v>
      </c>
      <c r="AI2" s="73" t="s">
        <v>578</v>
      </c>
      <c r="AJ2" s="73" t="s">
        <v>579</v>
      </c>
      <c r="AK2" s="73" t="s">
        <v>580</v>
      </c>
      <c r="AL2" s="73" t="s">
        <v>581</v>
      </c>
      <c r="AM2" s="73" t="s">
        <v>762</v>
      </c>
      <c r="AN2" s="73" t="s">
        <v>582</v>
      </c>
      <c r="AO2" s="73" t="s">
        <v>583</v>
      </c>
      <c r="AP2" s="73" t="s">
        <v>584</v>
      </c>
      <c r="AQ2" s="73" t="s">
        <v>585</v>
      </c>
      <c r="AR2" s="73" t="s">
        <v>586</v>
      </c>
      <c r="AS2" s="73" t="s">
        <v>585</v>
      </c>
      <c r="AT2" s="73" t="s">
        <v>587</v>
      </c>
      <c r="AU2" s="73" t="s">
        <v>1048</v>
      </c>
      <c r="AV2" s="73" t="s">
        <v>588</v>
      </c>
      <c r="AW2" s="73" t="s">
        <v>589</v>
      </c>
      <c r="AX2" s="73" t="s">
        <v>590</v>
      </c>
      <c r="AY2" s="73" t="s">
        <v>591</v>
      </c>
      <c r="AZ2" s="73" t="s">
        <v>592</v>
      </c>
      <c r="BA2" s="73" t="s">
        <v>591</v>
      </c>
      <c r="BB2" s="73" t="s">
        <v>593</v>
      </c>
      <c r="BC2" s="73" t="s">
        <v>1049</v>
      </c>
      <c r="BD2" s="73" t="s">
        <v>594</v>
      </c>
      <c r="BE2" s="73" t="s">
        <v>595</v>
      </c>
      <c r="BF2" s="73" t="s">
        <v>596</v>
      </c>
      <c r="BG2" s="73" t="s">
        <v>597</v>
      </c>
      <c r="BH2" s="73" t="s">
        <v>598</v>
      </c>
      <c r="BI2" s="73" t="s">
        <v>599</v>
      </c>
      <c r="BJ2" s="73" t="s">
        <v>600</v>
      </c>
      <c r="BK2" s="73" t="s">
        <v>601</v>
      </c>
      <c r="BL2" s="73" t="s">
        <v>602</v>
      </c>
      <c r="BM2" s="73" t="s">
        <v>603</v>
      </c>
      <c r="BN2" s="73" t="s">
        <v>604</v>
      </c>
      <c r="BO2" s="73" t="s">
        <v>605</v>
      </c>
      <c r="BP2" s="73" t="s">
        <v>606</v>
      </c>
      <c r="BQ2" s="73" t="s">
        <v>607</v>
      </c>
      <c r="BR2" s="73" t="s">
        <v>608</v>
      </c>
      <c r="BS2" s="73" t="s">
        <v>1050</v>
      </c>
      <c r="BT2" s="73" t="s">
        <v>609</v>
      </c>
      <c r="BU2" s="73" t="s">
        <v>1051</v>
      </c>
      <c r="BV2" s="73" t="s">
        <v>610</v>
      </c>
      <c r="BW2" s="73" t="s">
        <v>611</v>
      </c>
      <c r="BX2" s="73" t="s">
        <v>612</v>
      </c>
      <c r="BY2" s="73" t="s">
        <v>1052</v>
      </c>
      <c r="BZ2" s="73" t="s">
        <v>613</v>
      </c>
      <c r="CA2" s="73" t="s">
        <v>614</v>
      </c>
      <c r="CB2" s="73" t="s">
        <v>615</v>
      </c>
      <c r="CC2" s="73" t="s">
        <v>616</v>
      </c>
      <c r="CD2" s="73" t="s">
        <v>617</v>
      </c>
      <c r="CE2" s="73" t="s">
        <v>618</v>
      </c>
      <c r="CF2" s="73" t="s">
        <v>619</v>
      </c>
      <c r="CG2" s="73" t="s">
        <v>620</v>
      </c>
      <c r="CH2" s="73" t="s">
        <v>621</v>
      </c>
      <c r="CI2" s="73" t="s">
        <v>1065</v>
      </c>
      <c r="CJ2" s="73" t="s">
        <v>622</v>
      </c>
      <c r="CK2" s="73" t="s">
        <v>623</v>
      </c>
      <c r="CL2" s="73" t="s">
        <v>624</v>
      </c>
      <c r="CM2" s="73" t="s">
        <v>626</v>
      </c>
      <c r="CN2" s="73" t="s">
        <v>1066</v>
      </c>
      <c r="CO2" s="73" t="s">
        <v>627</v>
      </c>
      <c r="CP2" s="73" t="s">
        <v>628</v>
      </c>
      <c r="CQ2" s="73" t="s">
        <v>629</v>
      </c>
      <c r="CR2" s="73" t="s">
        <v>630</v>
      </c>
      <c r="CS2" s="73" t="s">
        <v>631</v>
      </c>
      <c r="CT2" s="73" t="s">
        <v>632</v>
      </c>
      <c r="CU2" s="73" t="s">
        <v>632</v>
      </c>
      <c r="CV2" s="73" t="s">
        <v>630</v>
      </c>
      <c r="CW2" s="73" t="s">
        <v>1067</v>
      </c>
      <c r="CX2" s="73" t="s">
        <v>633</v>
      </c>
      <c r="CY2" s="73" t="s">
        <v>634</v>
      </c>
      <c r="CZ2" s="73" t="s">
        <v>635</v>
      </c>
      <c r="DA2" s="73" t="s">
        <v>636</v>
      </c>
      <c r="DB2" s="73" t="s">
        <v>637</v>
      </c>
      <c r="DC2" s="73" t="s">
        <v>1068</v>
      </c>
      <c r="DD2" s="73" t="s">
        <v>639</v>
      </c>
      <c r="DE2" s="73" t="s">
        <v>640</v>
      </c>
      <c r="DF2" s="73" t="s">
        <v>632</v>
      </c>
      <c r="DG2" s="111" t="s">
        <v>896</v>
      </c>
      <c r="DH2" s="73" t="s">
        <v>553</v>
      </c>
      <c r="DI2" s="73" t="s">
        <v>554</v>
      </c>
      <c r="DJ2" s="90" t="s">
        <v>34</v>
      </c>
      <c r="DK2" s="73" t="s">
        <v>1043</v>
      </c>
      <c r="DL2" s="73" t="s">
        <v>555</v>
      </c>
      <c r="DM2" s="73" t="s">
        <v>556</v>
      </c>
      <c r="DN2" s="73" t="s">
        <v>557</v>
      </c>
      <c r="DO2" s="73" t="s">
        <v>558</v>
      </c>
      <c r="DP2" s="90" t="s">
        <v>34</v>
      </c>
      <c r="DQ2" s="73" t="s">
        <v>560</v>
      </c>
      <c r="DR2" s="73" t="s">
        <v>561</v>
      </c>
      <c r="DS2" s="73" t="s">
        <v>1044</v>
      </c>
      <c r="DT2" s="73" t="s">
        <v>562</v>
      </c>
      <c r="DU2" s="90" t="s">
        <v>34</v>
      </c>
      <c r="DV2" s="73" t="s">
        <v>564</v>
      </c>
      <c r="DW2" s="73" t="s">
        <v>565</v>
      </c>
      <c r="DX2" s="73" t="s">
        <v>566</v>
      </c>
      <c r="DY2" s="73" t="s">
        <v>569</v>
      </c>
      <c r="DZ2" s="73" t="s">
        <v>573</v>
      </c>
      <c r="EA2" s="73" t="s">
        <v>574</v>
      </c>
      <c r="EB2" s="73" t="s">
        <v>579</v>
      </c>
      <c r="EC2" s="73" t="s">
        <v>580</v>
      </c>
      <c r="ED2" s="73" t="s">
        <v>762</v>
      </c>
      <c r="EE2" s="73" t="s">
        <v>583</v>
      </c>
      <c r="EF2" s="73" t="s">
        <v>584</v>
      </c>
      <c r="EG2" s="73" t="s">
        <v>585</v>
      </c>
      <c r="EH2" s="73" t="s">
        <v>587</v>
      </c>
      <c r="EI2" s="73" t="s">
        <v>1048</v>
      </c>
      <c r="EJ2" s="73" t="s">
        <v>590</v>
      </c>
      <c r="EK2" s="73" t="s">
        <v>592</v>
      </c>
      <c r="EL2" s="73" t="s">
        <v>593</v>
      </c>
      <c r="EM2" s="73" t="s">
        <v>1049</v>
      </c>
      <c r="EN2" s="73" t="s">
        <v>594</v>
      </c>
      <c r="EO2" s="73" t="s">
        <v>596</v>
      </c>
      <c r="EP2" s="73" t="s">
        <v>603</v>
      </c>
      <c r="EQ2" s="73" t="s">
        <v>605</v>
      </c>
      <c r="ER2" s="73" t="s">
        <v>611</v>
      </c>
      <c r="ES2" s="73" t="s">
        <v>614</v>
      </c>
      <c r="ET2" s="73" t="s">
        <v>616</v>
      </c>
      <c r="EU2" s="73" t="s">
        <v>617</v>
      </c>
      <c r="EV2" s="73" t="s">
        <v>618</v>
      </c>
      <c r="EW2" s="73" t="s">
        <v>619</v>
      </c>
      <c r="EX2" s="73" t="s">
        <v>620</v>
      </c>
      <c r="EY2" s="73" t="s">
        <v>624</v>
      </c>
      <c r="EZ2" s="73" t="s">
        <v>625</v>
      </c>
      <c r="FA2" s="73" t="s">
        <v>626</v>
      </c>
      <c r="FB2" s="73" t="s">
        <v>1066</v>
      </c>
      <c r="FC2" s="73" t="s">
        <v>629</v>
      </c>
      <c r="FD2" s="73" t="s">
        <v>630</v>
      </c>
      <c r="FE2" s="73" t="s">
        <v>632</v>
      </c>
      <c r="FF2" s="73" t="s">
        <v>634</v>
      </c>
      <c r="FG2" s="73" t="s">
        <v>636</v>
      </c>
      <c r="FH2" s="73" t="s">
        <v>1068</v>
      </c>
      <c r="FI2" s="73" t="s">
        <v>638</v>
      </c>
      <c r="FJ2" s="73" t="s">
        <v>639</v>
      </c>
      <c r="FK2" s="73" t="s">
        <v>632</v>
      </c>
      <c r="FL2" s="111" t="s">
        <v>896</v>
      </c>
      <c r="FM2" s="73" t="s">
        <v>554</v>
      </c>
      <c r="FN2" s="73" t="s">
        <v>1043</v>
      </c>
      <c r="FO2" s="73" t="s">
        <v>555</v>
      </c>
      <c r="FP2" s="73" t="s">
        <v>557</v>
      </c>
      <c r="FQ2" s="73" t="s">
        <v>558</v>
      </c>
      <c r="FR2" s="73" t="s">
        <v>1045</v>
      </c>
      <c r="FS2" s="73" t="s">
        <v>563</v>
      </c>
      <c r="FT2" s="73" t="s">
        <v>564</v>
      </c>
      <c r="FU2" s="73" t="s">
        <v>569</v>
      </c>
      <c r="FV2" s="73" t="s">
        <v>1046</v>
      </c>
      <c r="FW2" s="73" t="s">
        <v>573</v>
      </c>
      <c r="FX2" s="73" t="s">
        <v>574</v>
      </c>
      <c r="FY2" s="73" t="s">
        <v>762</v>
      </c>
      <c r="FZ2" s="73" t="s">
        <v>582</v>
      </c>
      <c r="GA2" s="73" t="s">
        <v>584</v>
      </c>
      <c r="GB2" s="73" t="s">
        <v>586</v>
      </c>
      <c r="GC2" s="73" t="s">
        <v>585</v>
      </c>
      <c r="GD2" s="73" t="s">
        <v>587</v>
      </c>
      <c r="GE2" s="73" t="s">
        <v>1048</v>
      </c>
      <c r="GF2" s="73" t="s">
        <v>589</v>
      </c>
      <c r="GG2" s="73" t="s">
        <v>600</v>
      </c>
      <c r="GH2" s="73" t="s">
        <v>603</v>
      </c>
      <c r="GI2" s="73" t="s">
        <v>604</v>
      </c>
      <c r="GJ2" s="73" t="s">
        <v>605</v>
      </c>
      <c r="GK2" s="73" t="s">
        <v>611</v>
      </c>
      <c r="GL2" s="73" t="s">
        <v>613</v>
      </c>
      <c r="GM2" s="73" t="s">
        <v>614</v>
      </c>
      <c r="GN2" s="73" t="s">
        <v>617</v>
      </c>
      <c r="GO2" s="73" t="s">
        <v>618</v>
      </c>
      <c r="GP2" s="73" t="s">
        <v>619</v>
      </c>
      <c r="GQ2" s="73" t="s">
        <v>620</v>
      </c>
      <c r="GR2" s="73" t="s">
        <v>623</v>
      </c>
      <c r="GS2" s="73" t="s">
        <v>1066</v>
      </c>
      <c r="GT2" s="73" t="s">
        <v>629</v>
      </c>
      <c r="GU2" s="73" t="s">
        <v>630</v>
      </c>
      <c r="GV2" s="73" t="s">
        <v>632</v>
      </c>
      <c r="GW2" s="73" t="s">
        <v>633</v>
      </c>
      <c r="GX2" s="73" t="s">
        <v>635</v>
      </c>
      <c r="GY2" s="73" t="s">
        <v>636</v>
      </c>
      <c r="GZ2" s="73" t="s">
        <v>637</v>
      </c>
      <c r="HA2" s="73" t="s">
        <v>1068</v>
      </c>
      <c r="HB2" s="111" t="s">
        <v>896</v>
      </c>
    </row>
    <row r="3" spans="1:218" ht="21" thickTop="1" thickBot="1">
      <c r="A3" s="70" t="s">
        <v>761</v>
      </c>
      <c r="B3" s="8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100"/>
      <c r="DG3" s="109"/>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F3" s="115" t="s">
        <v>898</v>
      </c>
    </row>
    <row r="4" spans="1:218" ht="22" thickTop="1" thickBot="1">
      <c r="A4" s="69" t="s">
        <v>760</v>
      </c>
      <c r="B4" s="85"/>
      <c r="C4" s="76"/>
      <c r="D4" s="76"/>
      <c r="E4" s="76"/>
      <c r="F4" s="76"/>
      <c r="G4" s="76"/>
      <c r="H4" s="76"/>
      <c r="I4" s="76"/>
      <c r="J4" s="76"/>
      <c r="K4" s="76"/>
      <c r="L4" s="76"/>
      <c r="M4" s="75"/>
      <c r="N4" s="76"/>
      <c r="O4" s="76"/>
      <c r="P4" s="76"/>
      <c r="Q4" s="76"/>
      <c r="R4" s="76"/>
      <c r="S4" s="76"/>
      <c r="T4" s="76"/>
      <c r="U4" s="75"/>
      <c r="V4" s="76"/>
      <c r="W4" s="76"/>
      <c r="X4" s="76"/>
      <c r="Y4" s="75"/>
      <c r="Z4" s="135"/>
      <c r="AA4" s="76"/>
      <c r="AB4" s="76"/>
      <c r="AC4" s="76"/>
      <c r="AD4" s="76"/>
      <c r="AE4" s="76"/>
      <c r="AF4" s="76"/>
      <c r="AG4" s="76"/>
      <c r="AH4" s="76"/>
      <c r="AI4" s="76"/>
      <c r="AJ4" s="75"/>
      <c r="AK4" s="76"/>
      <c r="AL4" s="76"/>
      <c r="AM4" s="76"/>
      <c r="AN4" s="76"/>
      <c r="AO4" s="75"/>
      <c r="AP4" s="76"/>
      <c r="AQ4" s="76"/>
      <c r="AR4" s="76"/>
      <c r="AS4" s="76"/>
      <c r="AT4" s="75"/>
      <c r="AU4" s="135"/>
      <c r="AV4" s="76"/>
      <c r="AW4" s="76"/>
      <c r="AX4" s="76"/>
      <c r="AY4" s="76"/>
      <c r="AZ4" s="75"/>
      <c r="BA4" s="76"/>
      <c r="BB4" s="76"/>
      <c r="BC4" s="76"/>
      <c r="BD4" s="76"/>
      <c r="BE4" s="76"/>
      <c r="BF4" s="75"/>
      <c r="BG4" s="76"/>
      <c r="BH4" s="76"/>
      <c r="BI4" s="76"/>
      <c r="BJ4" s="76"/>
      <c r="BK4" s="75"/>
      <c r="BL4" s="76"/>
      <c r="BM4" s="76"/>
      <c r="BN4" s="76"/>
      <c r="BO4" s="76"/>
      <c r="BP4" s="75"/>
      <c r="BQ4" s="76"/>
      <c r="BR4" s="76"/>
      <c r="BS4" s="76"/>
      <c r="BT4" s="76"/>
      <c r="BU4" s="76"/>
      <c r="BV4" s="76"/>
      <c r="BW4" s="75"/>
      <c r="BX4" s="76"/>
      <c r="BY4" s="76"/>
      <c r="BZ4" s="76"/>
      <c r="CA4" s="76"/>
      <c r="CB4" s="76"/>
      <c r="CC4" s="75"/>
      <c r="CD4" s="76"/>
      <c r="CE4" s="76"/>
      <c r="CF4" s="76"/>
      <c r="CG4" s="76"/>
      <c r="CH4" s="75"/>
      <c r="CI4" s="135"/>
      <c r="CJ4" s="76"/>
      <c r="CK4" s="76"/>
      <c r="CL4" s="76"/>
      <c r="CM4" s="75"/>
      <c r="CN4" s="135"/>
      <c r="CO4" s="76"/>
      <c r="CP4" s="76"/>
      <c r="CQ4" s="76"/>
      <c r="CR4" s="76"/>
      <c r="CS4" s="75"/>
      <c r="CT4" s="76"/>
      <c r="CU4" s="76"/>
      <c r="CV4" s="76"/>
      <c r="CW4" s="76"/>
      <c r="CX4" s="76"/>
      <c r="CY4" s="75"/>
      <c r="CZ4" s="76"/>
      <c r="DA4" s="76"/>
      <c r="DB4" s="76"/>
      <c r="DC4" s="76"/>
      <c r="DD4" s="75"/>
      <c r="DE4" s="76"/>
      <c r="DF4" s="76"/>
      <c r="DG4" s="105">
        <f>+AVERAGE(DG5:DG16)</f>
        <v>0.60436893203883491</v>
      </c>
      <c r="DH4" s="76"/>
      <c r="DI4" s="76"/>
      <c r="DJ4" s="76"/>
      <c r="DK4" s="76"/>
      <c r="DL4" s="76"/>
      <c r="DM4" s="76"/>
      <c r="DN4" s="75"/>
      <c r="DO4" s="76"/>
      <c r="DP4" s="76"/>
      <c r="DQ4" s="76"/>
      <c r="DR4" s="76"/>
      <c r="DS4" s="76"/>
      <c r="DT4" s="76"/>
      <c r="DU4" s="76"/>
      <c r="DV4" s="75"/>
      <c r="DW4" s="76"/>
      <c r="DX4" s="76"/>
      <c r="DY4" s="75"/>
      <c r="DZ4" s="76"/>
      <c r="EA4" s="75"/>
      <c r="EB4" s="75"/>
      <c r="EC4" s="76"/>
      <c r="ED4" s="75"/>
      <c r="EE4" s="76"/>
      <c r="EF4" s="76"/>
      <c r="EG4" s="76"/>
      <c r="EH4" s="76"/>
      <c r="EI4" s="135"/>
      <c r="EJ4" s="76"/>
      <c r="EK4" s="76"/>
      <c r="EL4" s="76"/>
      <c r="EM4" s="76"/>
      <c r="EN4" s="76"/>
      <c r="EO4" s="76"/>
      <c r="EP4" s="76"/>
      <c r="EQ4" s="76"/>
      <c r="ER4" s="76"/>
      <c r="ES4" s="76"/>
      <c r="ET4" s="76"/>
      <c r="EU4" s="76"/>
      <c r="EV4" s="76"/>
      <c r="EW4" s="76"/>
      <c r="EX4" s="75"/>
      <c r="EY4" s="76"/>
      <c r="EZ4" s="75"/>
      <c r="FA4" s="76"/>
      <c r="FB4" s="76"/>
      <c r="FC4" s="76"/>
      <c r="FD4" s="75"/>
      <c r="FE4" s="76"/>
      <c r="FF4" s="76"/>
      <c r="FG4" s="76"/>
      <c r="FH4" s="76"/>
      <c r="FI4" s="76"/>
      <c r="FJ4" s="76"/>
      <c r="FK4" s="76"/>
      <c r="FL4" s="105">
        <f>+AVERAGE(FL5:FL16)</f>
        <v>0.589622641509434</v>
      </c>
      <c r="FM4" s="76"/>
      <c r="FN4" s="76"/>
      <c r="FO4" s="76"/>
      <c r="FP4" s="76"/>
      <c r="FQ4" s="76"/>
      <c r="FR4" s="76"/>
      <c r="FS4" s="76"/>
      <c r="FT4" s="76"/>
      <c r="FU4" s="76"/>
      <c r="FV4" s="135"/>
      <c r="FW4" s="76"/>
      <c r="FX4" s="76"/>
      <c r="FY4" s="76"/>
      <c r="FZ4" s="76"/>
      <c r="GA4" s="76"/>
      <c r="GB4" s="76"/>
      <c r="GC4" s="76"/>
      <c r="GD4" s="76"/>
      <c r="GE4" s="135"/>
      <c r="GF4" s="76"/>
      <c r="GG4" s="76"/>
      <c r="GH4" s="76"/>
      <c r="GI4" s="76"/>
      <c r="GJ4" s="76"/>
      <c r="GK4" s="76"/>
      <c r="GL4" s="76"/>
      <c r="GM4" s="76"/>
      <c r="GN4" s="76"/>
      <c r="GO4" s="76"/>
      <c r="GP4" s="76"/>
      <c r="GQ4" s="76"/>
      <c r="GR4" s="76"/>
      <c r="GS4" s="76"/>
      <c r="GT4" s="76"/>
      <c r="GU4" s="76"/>
      <c r="GV4" s="76"/>
      <c r="GW4" s="76"/>
      <c r="GX4" s="76"/>
      <c r="GY4" s="76"/>
      <c r="GZ4" s="76"/>
      <c r="HA4" s="76"/>
      <c r="HB4" s="105">
        <f>+AVERAGE(HB5:HB16)</f>
        <v>0.60365853658536583</v>
      </c>
      <c r="HF4" s="115"/>
      <c r="HG4" s="116"/>
      <c r="HH4" s="117" t="s">
        <v>906</v>
      </c>
      <c r="HI4" s="117" t="s">
        <v>907</v>
      </c>
      <c r="HJ4" s="117" t="s">
        <v>908</v>
      </c>
    </row>
    <row r="5" spans="1:218" ht="16" customHeight="1" thickTop="1">
      <c r="A5" s="59" t="s">
        <v>759</v>
      </c>
      <c r="B5" s="197">
        <v>0</v>
      </c>
      <c r="C5" s="188" t="s">
        <v>832</v>
      </c>
      <c r="D5" s="200">
        <v>1</v>
      </c>
      <c r="E5" s="188" t="s">
        <v>833</v>
      </c>
      <c r="F5" s="185">
        <v>0</v>
      </c>
      <c r="G5" s="173" t="s">
        <v>861</v>
      </c>
      <c r="H5" s="200">
        <v>0</v>
      </c>
      <c r="I5" s="200">
        <v>0</v>
      </c>
      <c r="J5" s="185">
        <v>1</v>
      </c>
      <c r="K5" s="173"/>
      <c r="L5" s="200">
        <v>1</v>
      </c>
      <c r="M5" s="173"/>
      <c r="N5" s="200">
        <v>1</v>
      </c>
      <c r="O5" s="185">
        <v>0</v>
      </c>
      <c r="P5" s="200">
        <v>0</v>
      </c>
      <c r="Q5" s="200">
        <v>0</v>
      </c>
      <c r="R5" s="188" t="s">
        <v>807</v>
      </c>
      <c r="S5" s="200">
        <v>0</v>
      </c>
      <c r="T5" s="200">
        <v>1</v>
      </c>
      <c r="U5" s="200">
        <v>1</v>
      </c>
      <c r="V5" s="200">
        <v>1</v>
      </c>
      <c r="W5" s="200">
        <v>1</v>
      </c>
      <c r="X5" s="200">
        <v>1</v>
      </c>
      <c r="Y5" s="200">
        <v>0</v>
      </c>
      <c r="Z5" s="200">
        <v>1</v>
      </c>
      <c r="AA5" s="200">
        <v>0</v>
      </c>
      <c r="AB5" s="200">
        <v>1</v>
      </c>
      <c r="AC5" s="200">
        <v>1</v>
      </c>
      <c r="AD5" s="200">
        <v>1</v>
      </c>
      <c r="AE5" s="200">
        <v>0</v>
      </c>
      <c r="AF5" s="200">
        <v>1</v>
      </c>
      <c r="AG5" s="200">
        <v>1</v>
      </c>
      <c r="AH5" s="200">
        <v>0</v>
      </c>
      <c r="AI5" s="200">
        <v>0</v>
      </c>
      <c r="AJ5" s="200">
        <v>1</v>
      </c>
      <c r="AK5" s="200">
        <v>0</v>
      </c>
      <c r="AL5" s="200">
        <v>0</v>
      </c>
      <c r="AM5" s="200">
        <v>1</v>
      </c>
      <c r="AN5" s="200">
        <v>0</v>
      </c>
      <c r="AO5" s="200">
        <v>0</v>
      </c>
      <c r="AP5" s="200">
        <v>0</v>
      </c>
      <c r="AQ5" s="200">
        <v>1</v>
      </c>
      <c r="AR5" s="200">
        <v>0</v>
      </c>
      <c r="AS5" s="200">
        <v>1</v>
      </c>
      <c r="AT5" s="200">
        <v>1</v>
      </c>
      <c r="AU5" s="200">
        <v>1</v>
      </c>
      <c r="AV5" s="200">
        <v>0</v>
      </c>
      <c r="AW5" s="200">
        <v>0</v>
      </c>
      <c r="AX5" s="200">
        <v>1</v>
      </c>
      <c r="AY5" s="200">
        <v>0</v>
      </c>
      <c r="AZ5" s="200">
        <v>1</v>
      </c>
      <c r="BA5" s="200">
        <v>1</v>
      </c>
      <c r="BB5" s="200">
        <v>0</v>
      </c>
      <c r="BC5" s="200">
        <v>0</v>
      </c>
      <c r="BD5" s="200">
        <v>0</v>
      </c>
      <c r="BE5" s="200">
        <v>0</v>
      </c>
      <c r="BF5" s="200">
        <v>0</v>
      </c>
      <c r="BG5" s="200">
        <v>0</v>
      </c>
      <c r="BH5" s="200">
        <v>0</v>
      </c>
      <c r="BI5" s="200">
        <v>0</v>
      </c>
      <c r="BJ5" s="200">
        <v>0</v>
      </c>
      <c r="BK5" s="200">
        <v>0</v>
      </c>
      <c r="BL5" s="200">
        <v>0</v>
      </c>
      <c r="BM5" s="200">
        <v>0</v>
      </c>
      <c r="BN5" s="200">
        <v>0</v>
      </c>
      <c r="BO5" s="200">
        <v>1</v>
      </c>
      <c r="BP5" s="200">
        <v>0</v>
      </c>
      <c r="BQ5" s="200">
        <v>0</v>
      </c>
      <c r="BR5" s="200">
        <v>1</v>
      </c>
      <c r="BS5" s="200">
        <v>0</v>
      </c>
      <c r="BT5" s="200">
        <v>1</v>
      </c>
      <c r="BU5" s="200">
        <v>0</v>
      </c>
      <c r="BV5" s="200">
        <v>1</v>
      </c>
      <c r="BW5" s="200">
        <v>0</v>
      </c>
      <c r="BX5" s="200">
        <v>0</v>
      </c>
      <c r="BY5" s="200">
        <v>0</v>
      </c>
      <c r="BZ5" s="200">
        <v>1</v>
      </c>
      <c r="CA5" s="200">
        <v>0</v>
      </c>
      <c r="CB5" s="200">
        <v>1</v>
      </c>
      <c r="CC5" s="200">
        <v>1</v>
      </c>
      <c r="CD5" s="200">
        <v>0</v>
      </c>
      <c r="CE5" s="200">
        <v>0</v>
      </c>
      <c r="CF5" s="200">
        <v>0</v>
      </c>
      <c r="CG5" s="200">
        <v>1</v>
      </c>
      <c r="CH5" s="200">
        <v>0</v>
      </c>
      <c r="CI5" s="200">
        <v>0</v>
      </c>
      <c r="CJ5" s="200">
        <v>0</v>
      </c>
      <c r="CK5" s="200">
        <v>0</v>
      </c>
      <c r="CL5" s="200">
        <v>1</v>
      </c>
      <c r="CM5" s="200">
        <v>0</v>
      </c>
      <c r="CN5" s="200">
        <v>0</v>
      </c>
      <c r="CO5" s="200">
        <v>1</v>
      </c>
      <c r="CP5" s="200">
        <v>0</v>
      </c>
      <c r="CQ5" s="200">
        <v>1</v>
      </c>
      <c r="CR5" s="200">
        <v>1</v>
      </c>
      <c r="CS5" s="200">
        <v>0</v>
      </c>
      <c r="CT5" s="200">
        <v>0</v>
      </c>
      <c r="CU5" s="200">
        <v>0</v>
      </c>
      <c r="CV5" s="200">
        <v>1</v>
      </c>
      <c r="CW5" s="200">
        <v>0</v>
      </c>
      <c r="CX5" s="200">
        <v>1</v>
      </c>
      <c r="CY5" s="200">
        <v>0</v>
      </c>
      <c r="CZ5" s="200">
        <v>0</v>
      </c>
      <c r="DA5" s="200">
        <v>0</v>
      </c>
      <c r="DB5" s="200">
        <v>1</v>
      </c>
      <c r="DC5" s="200">
        <v>0</v>
      </c>
      <c r="DD5" s="200">
        <v>0</v>
      </c>
      <c r="DE5" s="200">
        <v>0</v>
      </c>
      <c r="DF5" s="224">
        <v>1</v>
      </c>
      <c r="DG5" s="227">
        <f>+AVERAGE(B5:DF7)</f>
        <v>0.38834951456310679</v>
      </c>
      <c r="DH5" s="200">
        <v>1</v>
      </c>
      <c r="DI5" s="185">
        <v>0</v>
      </c>
      <c r="DJ5" s="203" t="s">
        <v>861</v>
      </c>
      <c r="DK5" s="200">
        <v>0</v>
      </c>
      <c r="DL5" s="200">
        <v>0</v>
      </c>
      <c r="DM5" s="185">
        <v>0</v>
      </c>
      <c r="DN5" s="200">
        <v>0</v>
      </c>
      <c r="DO5" s="185">
        <v>1</v>
      </c>
      <c r="DP5" s="203"/>
      <c r="DQ5" s="200">
        <v>1</v>
      </c>
      <c r="DR5" s="185">
        <v>0</v>
      </c>
      <c r="DS5" s="200">
        <v>0</v>
      </c>
      <c r="DT5" s="200">
        <v>0</v>
      </c>
      <c r="DU5" s="233" t="s">
        <v>807</v>
      </c>
      <c r="DV5" s="200">
        <v>1</v>
      </c>
      <c r="DW5" s="200">
        <v>1</v>
      </c>
      <c r="DX5" s="200">
        <v>1</v>
      </c>
      <c r="DY5" s="200">
        <v>0</v>
      </c>
      <c r="DZ5" s="200">
        <v>1</v>
      </c>
      <c r="EA5" s="200">
        <v>0</v>
      </c>
      <c r="EB5" s="200">
        <v>1</v>
      </c>
      <c r="EC5" s="200">
        <v>0</v>
      </c>
      <c r="ED5" s="200">
        <v>1</v>
      </c>
      <c r="EE5" s="200">
        <v>0</v>
      </c>
      <c r="EF5" s="200">
        <v>0</v>
      </c>
      <c r="EG5" s="200">
        <v>1</v>
      </c>
      <c r="EH5" s="200">
        <v>1</v>
      </c>
      <c r="EI5" s="200">
        <v>1</v>
      </c>
      <c r="EJ5" s="200">
        <v>1</v>
      </c>
      <c r="EK5" s="200">
        <v>1</v>
      </c>
      <c r="EL5" s="200">
        <v>0</v>
      </c>
      <c r="EM5" s="200">
        <v>0</v>
      </c>
      <c r="EN5" s="200">
        <v>0</v>
      </c>
      <c r="EO5" s="200">
        <v>0</v>
      </c>
      <c r="EP5" s="200">
        <v>0</v>
      </c>
      <c r="EQ5" s="200">
        <v>1</v>
      </c>
      <c r="ER5" s="200">
        <v>0</v>
      </c>
      <c r="ES5" s="200">
        <v>0</v>
      </c>
      <c r="ET5" s="200">
        <v>1</v>
      </c>
      <c r="EU5" s="200">
        <v>0</v>
      </c>
      <c r="EV5" s="200">
        <v>0</v>
      </c>
      <c r="EW5" s="200">
        <v>0</v>
      </c>
      <c r="EX5" s="200">
        <v>1</v>
      </c>
      <c r="EY5" s="200">
        <v>1</v>
      </c>
      <c r="EZ5" s="200">
        <v>0</v>
      </c>
      <c r="FA5" s="200">
        <v>0</v>
      </c>
      <c r="FB5" s="200">
        <v>0</v>
      </c>
      <c r="FC5" s="200">
        <v>1</v>
      </c>
      <c r="FD5" s="200">
        <v>1</v>
      </c>
      <c r="FE5" s="200">
        <v>0</v>
      </c>
      <c r="FF5" s="200">
        <v>0</v>
      </c>
      <c r="FG5" s="200">
        <v>0</v>
      </c>
      <c r="FH5" s="200">
        <v>0</v>
      </c>
      <c r="FI5" s="200">
        <v>0</v>
      </c>
      <c r="FJ5" s="200">
        <v>0</v>
      </c>
      <c r="FK5" s="200">
        <v>1</v>
      </c>
      <c r="FL5" s="227">
        <f>+AVERAGE(DH5:FK7)</f>
        <v>0.39622641509433965</v>
      </c>
      <c r="FM5" s="185">
        <v>0</v>
      </c>
      <c r="FN5" s="200">
        <v>0</v>
      </c>
      <c r="FO5" s="200">
        <v>0</v>
      </c>
      <c r="FP5" s="200">
        <v>0</v>
      </c>
      <c r="FQ5" s="185">
        <v>1</v>
      </c>
      <c r="FR5" s="200">
        <v>0</v>
      </c>
      <c r="FS5" s="200">
        <v>1</v>
      </c>
      <c r="FT5" s="200">
        <v>1</v>
      </c>
      <c r="FU5" s="200">
        <v>0</v>
      </c>
      <c r="FV5" s="200">
        <v>1</v>
      </c>
      <c r="FW5" s="200">
        <v>1</v>
      </c>
      <c r="FX5" s="200">
        <v>0</v>
      </c>
      <c r="FY5" s="200">
        <v>1</v>
      </c>
      <c r="FZ5" s="200">
        <v>0</v>
      </c>
      <c r="GA5" s="200">
        <v>0</v>
      </c>
      <c r="GB5" s="200">
        <v>0</v>
      </c>
      <c r="GC5" s="200">
        <v>1</v>
      </c>
      <c r="GD5" s="200">
        <v>1</v>
      </c>
      <c r="GE5" s="200">
        <v>1</v>
      </c>
      <c r="GF5" s="200">
        <v>0</v>
      </c>
      <c r="GG5" s="200">
        <v>0</v>
      </c>
      <c r="GH5" s="200">
        <v>0</v>
      </c>
      <c r="GI5" s="200">
        <v>0</v>
      </c>
      <c r="GJ5" s="200">
        <v>1</v>
      </c>
      <c r="GK5" s="200">
        <v>0</v>
      </c>
      <c r="GL5" s="200">
        <v>1</v>
      </c>
      <c r="GM5" s="200">
        <v>0</v>
      </c>
      <c r="GN5" s="200">
        <v>1</v>
      </c>
      <c r="GO5" s="200">
        <v>0</v>
      </c>
      <c r="GP5" s="200">
        <v>0</v>
      </c>
      <c r="GQ5" s="200">
        <v>1</v>
      </c>
      <c r="GR5" s="200">
        <v>0</v>
      </c>
      <c r="GS5" s="200">
        <v>0</v>
      </c>
      <c r="GT5" s="200">
        <v>1</v>
      </c>
      <c r="GU5" s="200">
        <v>1</v>
      </c>
      <c r="GV5" s="200">
        <v>0</v>
      </c>
      <c r="GW5" s="200">
        <v>1</v>
      </c>
      <c r="GX5" s="200">
        <v>0</v>
      </c>
      <c r="GY5" s="200">
        <v>0</v>
      </c>
      <c r="GZ5" s="200">
        <v>0</v>
      </c>
      <c r="HA5" s="200">
        <v>0</v>
      </c>
      <c r="HB5" s="227">
        <f>+AVERAGE(FM5:HA7)</f>
        <v>0.3902439024390244</v>
      </c>
      <c r="HF5" s="116"/>
      <c r="HG5" s="116" t="s">
        <v>899</v>
      </c>
      <c r="HH5" s="118">
        <f>+DG4</f>
        <v>0.60436893203883491</v>
      </c>
      <c r="HI5" s="118">
        <f>+FL4</f>
        <v>0.589622641509434</v>
      </c>
      <c r="HJ5" s="118">
        <f>+HB4</f>
        <v>0.60365853658536583</v>
      </c>
    </row>
    <row r="6" spans="1:218" ht="15" customHeight="1">
      <c r="A6" s="60" t="s">
        <v>25</v>
      </c>
      <c r="B6" s="198"/>
      <c r="C6" s="189"/>
      <c r="D6" s="201"/>
      <c r="E6" s="189"/>
      <c r="F6" s="186"/>
      <c r="G6" s="174"/>
      <c r="H6" s="201"/>
      <c r="I6" s="201"/>
      <c r="J6" s="186"/>
      <c r="K6" s="174"/>
      <c r="L6" s="201"/>
      <c r="M6" s="174"/>
      <c r="N6" s="201"/>
      <c r="O6" s="186"/>
      <c r="P6" s="201"/>
      <c r="Q6" s="201"/>
      <c r="R6" s="189"/>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25"/>
      <c r="DG6" s="228"/>
      <c r="DH6" s="201"/>
      <c r="DI6" s="186"/>
      <c r="DJ6" s="204"/>
      <c r="DK6" s="201"/>
      <c r="DL6" s="201"/>
      <c r="DM6" s="186"/>
      <c r="DN6" s="201"/>
      <c r="DO6" s="186"/>
      <c r="DP6" s="204"/>
      <c r="DQ6" s="201"/>
      <c r="DR6" s="186"/>
      <c r="DS6" s="201"/>
      <c r="DT6" s="201"/>
      <c r="DU6" s="234"/>
      <c r="DV6" s="201"/>
      <c r="DW6" s="201"/>
      <c r="DX6" s="201"/>
      <c r="DY6" s="201"/>
      <c r="DZ6" s="201"/>
      <c r="EA6" s="201"/>
      <c r="EB6" s="201"/>
      <c r="EC6" s="201"/>
      <c r="ED6" s="201"/>
      <c r="EE6" s="201"/>
      <c r="EF6" s="201"/>
      <c r="EG6" s="201"/>
      <c r="EH6" s="201"/>
      <c r="EI6" s="201"/>
      <c r="EJ6" s="201"/>
      <c r="EK6" s="201"/>
      <c r="EL6" s="201"/>
      <c r="EM6" s="201"/>
      <c r="EN6" s="201"/>
      <c r="EO6" s="201"/>
      <c r="EP6" s="201"/>
      <c r="EQ6" s="201"/>
      <c r="ER6" s="201"/>
      <c r="ES6" s="201"/>
      <c r="ET6" s="201"/>
      <c r="EU6" s="201"/>
      <c r="EV6" s="201"/>
      <c r="EW6" s="201"/>
      <c r="EX6" s="201"/>
      <c r="EY6" s="201"/>
      <c r="EZ6" s="201"/>
      <c r="FA6" s="201"/>
      <c r="FB6" s="201"/>
      <c r="FC6" s="201"/>
      <c r="FD6" s="201"/>
      <c r="FE6" s="201"/>
      <c r="FF6" s="201"/>
      <c r="FG6" s="201"/>
      <c r="FH6" s="201"/>
      <c r="FI6" s="201"/>
      <c r="FJ6" s="201"/>
      <c r="FK6" s="201"/>
      <c r="FL6" s="228"/>
      <c r="FM6" s="186"/>
      <c r="FN6" s="201"/>
      <c r="FO6" s="201"/>
      <c r="FP6" s="201"/>
      <c r="FQ6" s="186"/>
      <c r="FR6" s="201"/>
      <c r="FS6" s="201"/>
      <c r="FT6" s="201"/>
      <c r="FU6" s="201"/>
      <c r="FV6" s="201"/>
      <c r="FW6" s="201"/>
      <c r="FX6" s="201"/>
      <c r="FY6" s="201"/>
      <c r="FZ6" s="201"/>
      <c r="GA6" s="201"/>
      <c r="GB6" s="201"/>
      <c r="GC6" s="201"/>
      <c r="GD6" s="201"/>
      <c r="GE6" s="201"/>
      <c r="GF6" s="201"/>
      <c r="GG6" s="201"/>
      <c r="GH6" s="201"/>
      <c r="GI6" s="201"/>
      <c r="GJ6" s="201"/>
      <c r="GK6" s="201"/>
      <c r="GL6" s="201"/>
      <c r="GM6" s="201"/>
      <c r="GN6" s="201"/>
      <c r="GO6" s="201"/>
      <c r="GP6" s="201"/>
      <c r="GQ6" s="201"/>
      <c r="GR6" s="201"/>
      <c r="GS6" s="201"/>
      <c r="GT6" s="201"/>
      <c r="GU6" s="201"/>
      <c r="GV6" s="201"/>
      <c r="GW6" s="201"/>
      <c r="GX6" s="201"/>
      <c r="GY6" s="201"/>
      <c r="GZ6" s="201"/>
      <c r="HA6" s="201"/>
      <c r="HB6" s="228"/>
      <c r="HF6" s="116"/>
      <c r="HG6" s="116" t="s">
        <v>900</v>
      </c>
      <c r="HH6" s="118">
        <f>+DG17</f>
        <v>0.96885589187131171</v>
      </c>
      <c r="HI6" s="118">
        <f>+FL17</f>
        <v>0.97358490566037736</v>
      </c>
      <c r="HJ6" s="118">
        <f>+HB17</f>
        <v>0.96585365853658534</v>
      </c>
    </row>
    <row r="7" spans="1:218" ht="71" thickBot="1">
      <c r="A7" s="57" t="s">
        <v>758</v>
      </c>
      <c r="B7" s="199"/>
      <c r="C7" s="190"/>
      <c r="D7" s="202"/>
      <c r="E7" s="190"/>
      <c r="F7" s="187"/>
      <c r="G7" s="175"/>
      <c r="H7" s="202"/>
      <c r="I7" s="202"/>
      <c r="J7" s="187"/>
      <c r="K7" s="175"/>
      <c r="L7" s="202"/>
      <c r="M7" s="175"/>
      <c r="N7" s="202"/>
      <c r="O7" s="187"/>
      <c r="P7" s="202"/>
      <c r="Q7" s="202"/>
      <c r="R7" s="190"/>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26"/>
      <c r="DG7" s="229"/>
      <c r="DH7" s="202"/>
      <c r="DI7" s="187"/>
      <c r="DJ7" s="205"/>
      <c r="DK7" s="202"/>
      <c r="DL7" s="202"/>
      <c r="DM7" s="187"/>
      <c r="DN7" s="202"/>
      <c r="DO7" s="187"/>
      <c r="DP7" s="205"/>
      <c r="DQ7" s="202"/>
      <c r="DR7" s="187"/>
      <c r="DS7" s="202"/>
      <c r="DT7" s="202"/>
      <c r="DU7" s="235"/>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29"/>
      <c r="FM7" s="187"/>
      <c r="FN7" s="202"/>
      <c r="FO7" s="202"/>
      <c r="FP7" s="202"/>
      <c r="FQ7" s="187"/>
      <c r="FR7" s="202"/>
      <c r="FS7" s="202"/>
      <c r="FT7" s="202"/>
      <c r="FU7" s="202"/>
      <c r="FV7" s="202"/>
      <c r="FW7" s="202"/>
      <c r="FX7" s="202"/>
      <c r="FY7" s="202"/>
      <c r="FZ7" s="202"/>
      <c r="GA7" s="202"/>
      <c r="GB7" s="202"/>
      <c r="GC7" s="202"/>
      <c r="GD7" s="202"/>
      <c r="GE7" s="202"/>
      <c r="GF7" s="202"/>
      <c r="GG7" s="202"/>
      <c r="GH7" s="202"/>
      <c r="GI7" s="202"/>
      <c r="GJ7" s="202"/>
      <c r="GK7" s="202"/>
      <c r="GL7" s="202"/>
      <c r="GM7" s="202"/>
      <c r="GN7" s="202"/>
      <c r="GO7" s="202"/>
      <c r="GP7" s="202"/>
      <c r="GQ7" s="202"/>
      <c r="GR7" s="202"/>
      <c r="GS7" s="202"/>
      <c r="GT7" s="202"/>
      <c r="GU7" s="202"/>
      <c r="GV7" s="202"/>
      <c r="GW7" s="202"/>
      <c r="GX7" s="202"/>
      <c r="GY7" s="202"/>
      <c r="GZ7" s="202"/>
      <c r="HA7" s="202"/>
      <c r="HB7" s="229"/>
      <c r="HF7" s="116"/>
      <c r="HG7" s="116" t="s">
        <v>901</v>
      </c>
      <c r="HH7" s="118">
        <f>+DG33</f>
        <v>0.5714285714285714</v>
      </c>
      <c r="HI7" s="118">
        <f>+FL33</f>
        <v>0.57412398921832886</v>
      </c>
      <c r="HJ7" s="118">
        <f>+HB33</f>
        <v>0.5714285714285714</v>
      </c>
    </row>
    <row r="8" spans="1:218" ht="22" customHeight="1" thickTop="1">
      <c r="A8" s="59" t="s">
        <v>757</v>
      </c>
      <c r="B8" s="197">
        <v>1</v>
      </c>
      <c r="C8" s="170"/>
      <c r="D8" s="197">
        <v>1</v>
      </c>
      <c r="E8" s="170"/>
      <c r="F8" s="185">
        <v>1</v>
      </c>
      <c r="G8" s="167"/>
      <c r="H8" s="197">
        <v>1</v>
      </c>
      <c r="I8" s="197">
        <v>1</v>
      </c>
      <c r="J8" s="185">
        <v>1</v>
      </c>
      <c r="K8" s="167"/>
      <c r="L8" s="197">
        <v>1</v>
      </c>
      <c r="M8" s="167"/>
      <c r="N8" s="197">
        <v>1</v>
      </c>
      <c r="O8" s="185">
        <v>1</v>
      </c>
      <c r="P8" s="197">
        <v>1</v>
      </c>
      <c r="Q8" s="197">
        <v>1</v>
      </c>
      <c r="R8" s="170"/>
      <c r="S8" s="197">
        <v>1</v>
      </c>
      <c r="T8" s="197">
        <v>1</v>
      </c>
      <c r="U8" s="197">
        <v>1</v>
      </c>
      <c r="V8" s="197">
        <v>1</v>
      </c>
      <c r="W8" s="197">
        <v>1</v>
      </c>
      <c r="X8" s="197">
        <v>1</v>
      </c>
      <c r="Y8" s="197">
        <v>1</v>
      </c>
      <c r="Z8" s="197">
        <v>1</v>
      </c>
      <c r="AA8" s="197">
        <v>1</v>
      </c>
      <c r="AB8" s="197">
        <v>1</v>
      </c>
      <c r="AC8" s="197">
        <v>1</v>
      </c>
      <c r="AD8" s="197">
        <v>1</v>
      </c>
      <c r="AE8" s="197">
        <v>1</v>
      </c>
      <c r="AF8" s="197">
        <v>1</v>
      </c>
      <c r="AG8" s="197">
        <v>1</v>
      </c>
      <c r="AH8" s="197">
        <v>1</v>
      </c>
      <c r="AI8" s="197">
        <v>1</v>
      </c>
      <c r="AJ8" s="197">
        <v>1</v>
      </c>
      <c r="AK8" s="197">
        <v>1</v>
      </c>
      <c r="AL8" s="197">
        <v>1</v>
      </c>
      <c r="AM8" s="197">
        <v>1</v>
      </c>
      <c r="AN8" s="197">
        <v>1</v>
      </c>
      <c r="AO8" s="197">
        <v>1</v>
      </c>
      <c r="AP8" s="197">
        <v>1</v>
      </c>
      <c r="AQ8" s="197">
        <v>1</v>
      </c>
      <c r="AR8" s="197">
        <v>1</v>
      </c>
      <c r="AS8" s="197">
        <v>1</v>
      </c>
      <c r="AT8" s="197">
        <v>1</v>
      </c>
      <c r="AU8" s="197">
        <v>1</v>
      </c>
      <c r="AV8" s="197">
        <v>1</v>
      </c>
      <c r="AW8" s="197">
        <v>1</v>
      </c>
      <c r="AX8" s="197">
        <v>1</v>
      </c>
      <c r="AY8" s="197">
        <v>1</v>
      </c>
      <c r="AZ8" s="197">
        <v>1</v>
      </c>
      <c r="BA8" s="197">
        <v>1</v>
      </c>
      <c r="BB8" s="197">
        <v>1</v>
      </c>
      <c r="BC8" s="197">
        <v>1</v>
      </c>
      <c r="BD8" s="197">
        <v>1</v>
      </c>
      <c r="BE8" s="197">
        <v>1</v>
      </c>
      <c r="BF8" s="197">
        <v>1</v>
      </c>
      <c r="BG8" s="197">
        <v>1</v>
      </c>
      <c r="BH8" s="197">
        <v>1</v>
      </c>
      <c r="BI8" s="197">
        <v>1</v>
      </c>
      <c r="BJ8" s="197">
        <v>1</v>
      </c>
      <c r="BK8" s="197">
        <v>1</v>
      </c>
      <c r="BL8" s="197">
        <v>1</v>
      </c>
      <c r="BM8" s="197">
        <v>1</v>
      </c>
      <c r="BN8" s="197">
        <v>1</v>
      </c>
      <c r="BO8" s="197">
        <v>1</v>
      </c>
      <c r="BP8" s="197">
        <v>1</v>
      </c>
      <c r="BQ8" s="197">
        <v>1</v>
      </c>
      <c r="BR8" s="197">
        <v>1</v>
      </c>
      <c r="BS8" s="197">
        <v>1</v>
      </c>
      <c r="BT8" s="197">
        <v>1</v>
      </c>
      <c r="BU8" s="197">
        <v>1</v>
      </c>
      <c r="BV8" s="197">
        <v>1</v>
      </c>
      <c r="BW8" s="197">
        <v>1</v>
      </c>
      <c r="BX8" s="197">
        <v>1</v>
      </c>
      <c r="BY8" s="197">
        <v>1</v>
      </c>
      <c r="BZ8" s="197">
        <v>1</v>
      </c>
      <c r="CA8" s="197">
        <v>1</v>
      </c>
      <c r="CB8" s="197">
        <v>1</v>
      </c>
      <c r="CC8" s="197">
        <v>1</v>
      </c>
      <c r="CD8" s="197">
        <v>1</v>
      </c>
      <c r="CE8" s="197">
        <v>1</v>
      </c>
      <c r="CF8" s="197">
        <v>1</v>
      </c>
      <c r="CG8" s="197">
        <v>1</v>
      </c>
      <c r="CH8" s="197">
        <v>1</v>
      </c>
      <c r="CI8" s="197">
        <v>1</v>
      </c>
      <c r="CJ8" s="197">
        <v>1</v>
      </c>
      <c r="CK8" s="197">
        <v>1</v>
      </c>
      <c r="CL8" s="197">
        <v>1</v>
      </c>
      <c r="CM8" s="197">
        <v>1</v>
      </c>
      <c r="CN8" s="197">
        <v>1</v>
      </c>
      <c r="CO8" s="197">
        <v>1</v>
      </c>
      <c r="CP8" s="197">
        <v>1</v>
      </c>
      <c r="CQ8" s="197">
        <v>1</v>
      </c>
      <c r="CR8" s="197">
        <v>1</v>
      </c>
      <c r="CS8" s="197">
        <v>1</v>
      </c>
      <c r="CT8" s="197">
        <v>1</v>
      </c>
      <c r="CU8" s="197">
        <v>1</v>
      </c>
      <c r="CV8" s="197">
        <v>1</v>
      </c>
      <c r="CW8" s="197">
        <v>1</v>
      </c>
      <c r="CX8" s="197">
        <v>1</v>
      </c>
      <c r="CY8" s="197">
        <v>1</v>
      </c>
      <c r="CZ8" s="197">
        <v>1</v>
      </c>
      <c r="DA8" s="197">
        <v>1</v>
      </c>
      <c r="DB8" s="197">
        <v>1</v>
      </c>
      <c r="DC8" s="197">
        <v>1</v>
      </c>
      <c r="DD8" s="197">
        <v>1</v>
      </c>
      <c r="DE8" s="197">
        <v>1</v>
      </c>
      <c r="DF8" s="230">
        <v>1</v>
      </c>
      <c r="DG8" s="227">
        <f>+AVERAGE(B8:DF10)</f>
        <v>1</v>
      </c>
      <c r="DH8" s="197">
        <v>1</v>
      </c>
      <c r="DI8" s="185">
        <v>1</v>
      </c>
      <c r="DJ8" s="203"/>
      <c r="DK8" s="197">
        <v>1</v>
      </c>
      <c r="DL8" s="197">
        <v>1</v>
      </c>
      <c r="DM8" s="185">
        <v>1</v>
      </c>
      <c r="DN8" s="197">
        <v>1</v>
      </c>
      <c r="DO8" s="185">
        <v>1</v>
      </c>
      <c r="DP8" s="203"/>
      <c r="DQ8" s="197">
        <v>1</v>
      </c>
      <c r="DR8" s="185">
        <v>1</v>
      </c>
      <c r="DS8" s="197">
        <v>1</v>
      </c>
      <c r="DT8" s="197">
        <v>1</v>
      </c>
      <c r="DU8" s="233"/>
      <c r="DV8" s="197">
        <v>1</v>
      </c>
      <c r="DW8" s="197">
        <v>1</v>
      </c>
      <c r="DX8" s="197">
        <v>1</v>
      </c>
      <c r="DY8" s="197">
        <v>1</v>
      </c>
      <c r="DZ8" s="197">
        <v>1</v>
      </c>
      <c r="EA8" s="197">
        <v>1</v>
      </c>
      <c r="EB8" s="197">
        <v>1</v>
      </c>
      <c r="EC8" s="197">
        <v>1</v>
      </c>
      <c r="ED8" s="197">
        <v>1</v>
      </c>
      <c r="EE8" s="197">
        <v>1</v>
      </c>
      <c r="EF8" s="197">
        <v>1</v>
      </c>
      <c r="EG8" s="197">
        <v>1</v>
      </c>
      <c r="EH8" s="197">
        <v>1</v>
      </c>
      <c r="EI8" s="197">
        <v>1</v>
      </c>
      <c r="EJ8" s="197">
        <v>1</v>
      </c>
      <c r="EK8" s="197">
        <v>1</v>
      </c>
      <c r="EL8" s="197">
        <v>1</v>
      </c>
      <c r="EM8" s="197">
        <v>1</v>
      </c>
      <c r="EN8" s="197">
        <v>1</v>
      </c>
      <c r="EO8" s="197">
        <v>1</v>
      </c>
      <c r="EP8" s="197">
        <v>1</v>
      </c>
      <c r="EQ8" s="197">
        <v>1</v>
      </c>
      <c r="ER8" s="197">
        <v>1</v>
      </c>
      <c r="ES8" s="197">
        <v>1</v>
      </c>
      <c r="ET8" s="197">
        <v>1</v>
      </c>
      <c r="EU8" s="197">
        <v>1</v>
      </c>
      <c r="EV8" s="197">
        <v>1</v>
      </c>
      <c r="EW8" s="197">
        <v>1</v>
      </c>
      <c r="EX8" s="197">
        <v>1</v>
      </c>
      <c r="EY8" s="197">
        <v>1</v>
      </c>
      <c r="EZ8" s="197">
        <v>1</v>
      </c>
      <c r="FA8" s="197">
        <v>1</v>
      </c>
      <c r="FB8" s="197">
        <v>1</v>
      </c>
      <c r="FC8" s="197">
        <v>1</v>
      </c>
      <c r="FD8" s="197">
        <v>1</v>
      </c>
      <c r="FE8" s="197">
        <v>1</v>
      </c>
      <c r="FF8" s="197">
        <v>1</v>
      </c>
      <c r="FG8" s="197">
        <v>1</v>
      </c>
      <c r="FH8" s="197">
        <v>1</v>
      </c>
      <c r="FI8" s="197">
        <v>1</v>
      </c>
      <c r="FJ8" s="197">
        <v>1</v>
      </c>
      <c r="FK8" s="197">
        <v>1</v>
      </c>
      <c r="FL8" s="227">
        <f>+AVERAGE(DH8:FK10)</f>
        <v>1</v>
      </c>
      <c r="FM8" s="185">
        <v>1</v>
      </c>
      <c r="FN8" s="197">
        <v>1</v>
      </c>
      <c r="FO8" s="197">
        <v>1</v>
      </c>
      <c r="FP8" s="197">
        <v>1</v>
      </c>
      <c r="FQ8" s="185">
        <v>1</v>
      </c>
      <c r="FR8" s="197">
        <v>1</v>
      </c>
      <c r="FS8" s="197">
        <v>1</v>
      </c>
      <c r="FT8" s="197">
        <v>1</v>
      </c>
      <c r="FU8" s="197">
        <v>1</v>
      </c>
      <c r="FV8" s="197">
        <v>1</v>
      </c>
      <c r="FW8" s="197">
        <v>1</v>
      </c>
      <c r="FX8" s="197">
        <v>1</v>
      </c>
      <c r="FY8" s="197">
        <v>1</v>
      </c>
      <c r="FZ8" s="197">
        <v>1</v>
      </c>
      <c r="GA8" s="197">
        <v>1</v>
      </c>
      <c r="GB8" s="197">
        <v>1</v>
      </c>
      <c r="GC8" s="197">
        <v>1</v>
      </c>
      <c r="GD8" s="197">
        <v>1</v>
      </c>
      <c r="GE8" s="197">
        <v>1</v>
      </c>
      <c r="GF8" s="197">
        <v>1</v>
      </c>
      <c r="GG8" s="197">
        <v>1</v>
      </c>
      <c r="GH8" s="197">
        <v>1</v>
      </c>
      <c r="GI8" s="197">
        <v>1</v>
      </c>
      <c r="GJ8" s="197">
        <v>1</v>
      </c>
      <c r="GK8" s="197">
        <v>1</v>
      </c>
      <c r="GL8" s="197">
        <v>1</v>
      </c>
      <c r="GM8" s="197">
        <v>1</v>
      </c>
      <c r="GN8" s="197">
        <v>1</v>
      </c>
      <c r="GO8" s="197">
        <v>1</v>
      </c>
      <c r="GP8" s="197">
        <v>1</v>
      </c>
      <c r="GQ8" s="197">
        <v>1</v>
      </c>
      <c r="GR8" s="197">
        <v>1</v>
      </c>
      <c r="GS8" s="197">
        <v>1</v>
      </c>
      <c r="GT8" s="197">
        <v>1</v>
      </c>
      <c r="GU8" s="197">
        <v>1</v>
      </c>
      <c r="GV8" s="197">
        <v>1</v>
      </c>
      <c r="GW8" s="197">
        <v>1</v>
      </c>
      <c r="GX8" s="197">
        <v>1</v>
      </c>
      <c r="GY8" s="197">
        <v>1</v>
      </c>
      <c r="GZ8" s="197">
        <v>1</v>
      </c>
      <c r="HA8" s="197">
        <v>1</v>
      </c>
      <c r="HB8" s="227">
        <f t="shared" ref="HB8" si="0">+AVERAGE(FM8:HA10)</f>
        <v>1</v>
      </c>
      <c r="HF8" s="116"/>
      <c r="HG8" s="116" t="s">
        <v>902</v>
      </c>
      <c r="HH8" s="118">
        <f>+DG55</f>
        <v>0.64563106796116509</v>
      </c>
      <c r="HI8" s="118">
        <f>+FL55</f>
        <v>0.66352201257861632</v>
      </c>
      <c r="HJ8" s="118">
        <f>+HB55</f>
        <v>0.66260162601626016</v>
      </c>
    </row>
    <row r="9" spans="1:218" ht="15" customHeight="1">
      <c r="A9" s="58"/>
      <c r="B9" s="198"/>
      <c r="C9" s="171"/>
      <c r="D9" s="198"/>
      <c r="E9" s="171"/>
      <c r="F9" s="186"/>
      <c r="G9" s="168"/>
      <c r="H9" s="198"/>
      <c r="I9" s="198"/>
      <c r="J9" s="186"/>
      <c r="K9" s="168"/>
      <c r="L9" s="198"/>
      <c r="M9" s="168"/>
      <c r="N9" s="198"/>
      <c r="O9" s="186"/>
      <c r="P9" s="198"/>
      <c r="Q9" s="198"/>
      <c r="R9" s="171"/>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231"/>
      <c r="DG9" s="228"/>
      <c r="DH9" s="198"/>
      <c r="DI9" s="186"/>
      <c r="DJ9" s="204"/>
      <c r="DK9" s="198"/>
      <c r="DL9" s="198"/>
      <c r="DM9" s="186"/>
      <c r="DN9" s="198"/>
      <c r="DO9" s="186"/>
      <c r="DP9" s="204"/>
      <c r="DQ9" s="198"/>
      <c r="DR9" s="186"/>
      <c r="DS9" s="198"/>
      <c r="DT9" s="198"/>
      <c r="DU9" s="234"/>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228"/>
      <c r="FM9" s="186"/>
      <c r="FN9" s="198"/>
      <c r="FO9" s="198"/>
      <c r="FP9" s="198"/>
      <c r="FQ9" s="186"/>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228"/>
      <c r="HF9" s="116"/>
      <c r="HG9" s="116" t="s">
        <v>903</v>
      </c>
      <c r="HH9" s="118">
        <f>+DG74</f>
        <v>0.3754838504981281</v>
      </c>
      <c r="HI9" s="118">
        <f>+FL74</f>
        <v>0.110062893081761</v>
      </c>
      <c r="HJ9" s="118">
        <f>+HB74</f>
        <v>0.1261178861788618</v>
      </c>
    </row>
    <row r="10" spans="1:218" ht="71" thickBot="1">
      <c r="A10" s="57" t="s">
        <v>756</v>
      </c>
      <c r="B10" s="199"/>
      <c r="C10" s="172"/>
      <c r="D10" s="199"/>
      <c r="E10" s="172"/>
      <c r="F10" s="187"/>
      <c r="G10" s="169"/>
      <c r="H10" s="199"/>
      <c r="I10" s="199"/>
      <c r="J10" s="187"/>
      <c r="K10" s="169"/>
      <c r="L10" s="199"/>
      <c r="M10" s="169"/>
      <c r="N10" s="199"/>
      <c r="O10" s="187"/>
      <c r="P10" s="199"/>
      <c r="Q10" s="199"/>
      <c r="R10" s="172"/>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232"/>
      <c r="DG10" s="229"/>
      <c r="DH10" s="199"/>
      <c r="DI10" s="187"/>
      <c r="DJ10" s="205"/>
      <c r="DK10" s="199"/>
      <c r="DL10" s="199"/>
      <c r="DM10" s="187"/>
      <c r="DN10" s="199"/>
      <c r="DO10" s="187"/>
      <c r="DP10" s="205"/>
      <c r="DQ10" s="199"/>
      <c r="DR10" s="187"/>
      <c r="DS10" s="199"/>
      <c r="DT10" s="199"/>
      <c r="DU10" s="235"/>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229"/>
      <c r="FM10" s="187"/>
      <c r="FN10" s="199"/>
      <c r="FO10" s="199"/>
      <c r="FP10" s="199"/>
      <c r="FQ10" s="187"/>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229"/>
      <c r="HF10" s="116"/>
      <c r="HG10" s="116" t="s">
        <v>904</v>
      </c>
      <c r="HH10" s="118">
        <f>+DG93</f>
        <v>0.89865103015155878</v>
      </c>
      <c r="HI10" s="118">
        <f>+FL93</f>
        <v>0.92343976777939041</v>
      </c>
      <c r="HJ10" s="118">
        <f>+HB93</f>
        <v>0.92662601626016261</v>
      </c>
    </row>
    <row r="11" spans="1:218" ht="16" customHeight="1" thickTop="1">
      <c r="A11" s="68" t="s">
        <v>755</v>
      </c>
      <c r="B11" s="197">
        <v>0</v>
      </c>
      <c r="C11" s="170"/>
      <c r="D11" s="197">
        <v>0</v>
      </c>
      <c r="E11" s="170"/>
      <c r="F11" s="197">
        <v>0</v>
      </c>
      <c r="G11" s="167"/>
      <c r="H11" s="197">
        <v>0</v>
      </c>
      <c r="I11" s="197">
        <v>0</v>
      </c>
      <c r="J11" s="197">
        <v>0</v>
      </c>
      <c r="K11" s="197"/>
      <c r="L11" s="197">
        <v>0</v>
      </c>
      <c r="M11" s="167"/>
      <c r="N11" s="197">
        <v>0</v>
      </c>
      <c r="O11" s="197">
        <v>0</v>
      </c>
      <c r="P11" s="197">
        <v>0</v>
      </c>
      <c r="Q11" s="197">
        <v>0</v>
      </c>
      <c r="R11" s="170"/>
      <c r="S11" s="197">
        <v>0</v>
      </c>
      <c r="T11" s="197">
        <v>0</v>
      </c>
      <c r="U11" s="197">
        <v>0</v>
      </c>
      <c r="V11" s="197">
        <v>0</v>
      </c>
      <c r="W11" s="197">
        <v>0</v>
      </c>
      <c r="X11" s="197">
        <v>0</v>
      </c>
      <c r="Y11" s="197">
        <v>0</v>
      </c>
      <c r="Z11" s="197">
        <v>0</v>
      </c>
      <c r="AA11" s="197">
        <v>0</v>
      </c>
      <c r="AB11" s="197">
        <v>0</v>
      </c>
      <c r="AC11" s="197">
        <v>0</v>
      </c>
      <c r="AD11" s="197">
        <v>0</v>
      </c>
      <c r="AE11" s="197">
        <v>0</v>
      </c>
      <c r="AF11" s="197">
        <v>0</v>
      </c>
      <c r="AG11" s="197">
        <v>0</v>
      </c>
      <c r="AH11" s="197">
        <v>0</v>
      </c>
      <c r="AI11" s="197">
        <v>0</v>
      </c>
      <c r="AJ11" s="197">
        <v>0</v>
      </c>
      <c r="AK11" s="197">
        <v>1</v>
      </c>
      <c r="AL11" s="197">
        <v>0</v>
      </c>
      <c r="AM11" s="197">
        <v>0</v>
      </c>
      <c r="AN11" s="197">
        <v>0</v>
      </c>
      <c r="AO11" s="197">
        <v>1</v>
      </c>
      <c r="AP11" s="197">
        <v>0</v>
      </c>
      <c r="AQ11" s="197">
        <v>0</v>
      </c>
      <c r="AR11" s="197">
        <v>0</v>
      </c>
      <c r="AS11" s="197">
        <v>0</v>
      </c>
      <c r="AT11" s="197">
        <v>0</v>
      </c>
      <c r="AU11" s="197">
        <v>0</v>
      </c>
      <c r="AV11" s="197">
        <v>0</v>
      </c>
      <c r="AW11" s="197">
        <v>1</v>
      </c>
      <c r="AX11" s="197">
        <v>1</v>
      </c>
      <c r="AY11" s="197">
        <v>0</v>
      </c>
      <c r="AZ11" s="197">
        <v>0</v>
      </c>
      <c r="BA11" s="197">
        <v>0</v>
      </c>
      <c r="BB11" s="197">
        <v>0</v>
      </c>
      <c r="BC11" s="197">
        <v>0</v>
      </c>
      <c r="BD11" s="197">
        <v>0</v>
      </c>
      <c r="BE11" s="197">
        <v>0</v>
      </c>
      <c r="BF11" s="197">
        <v>0</v>
      </c>
      <c r="BG11" s="197">
        <v>0</v>
      </c>
      <c r="BH11" s="197">
        <v>0</v>
      </c>
      <c r="BI11" s="197">
        <v>0</v>
      </c>
      <c r="BJ11" s="197">
        <v>1</v>
      </c>
      <c r="BK11" s="197">
        <v>0</v>
      </c>
      <c r="BL11" s="197">
        <v>0</v>
      </c>
      <c r="BM11" s="197">
        <v>0</v>
      </c>
      <c r="BN11" s="197">
        <v>0</v>
      </c>
      <c r="BO11" s="197">
        <v>1</v>
      </c>
      <c r="BP11" s="197">
        <v>1</v>
      </c>
      <c r="BQ11" s="197">
        <v>1</v>
      </c>
      <c r="BR11" s="197">
        <v>1</v>
      </c>
      <c r="BS11" s="197">
        <v>1</v>
      </c>
      <c r="BT11" s="197">
        <v>1</v>
      </c>
      <c r="BU11" s="197">
        <v>1</v>
      </c>
      <c r="BV11" s="197">
        <v>1</v>
      </c>
      <c r="BW11" s="197">
        <v>1</v>
      </c>
      <c r="BX11" s="197">
        <v>1</v>
      </c>
      <c r="BY11" s="197">
        <v>1</v>
      </c>
      <c r="BZ11" s="197">
        <v>0</v>
      </c>
      <c r="CA11" s="197">
        <v>0</v>
      </c>
      <c r="CB11" s="197">
        <v>0</v>
      </c>
      <c r="CC11" s="197">
        <v>0</v>
      </c>
      <c r="CD11" s="197">
        <v>0</v>
      </c>
      <c r="CE11" s="197">
        <v>0</v>
      </c>
      <c r="CF11" s="197">
        <v>0</v>
      </c>
      <c r="CG11" s="197">
        <v>0</v>
      </c>
      <c r="CH11" s="197">
        <v>0</v>
      </c>
      <c r="CI11" s="197">
        <v>0</v>
      </c>
      <c r="CJ11" s="197">
        <v>0</v>
      </c>
      <c r="CK11" s="197">
        <v>0</v>
      </c>
      <c r="CL11" s="197">
        <v>0</v>
      </c>
      <c r="CM11" s="197">
        <v>0</v>
      </c>
      <c r="CN11" s="197">
        <v>0</v>
      </c>
      <c r="CO11" s="197">
        <v>0</v>
      </c>
      <c r="CP11" s="197">
        <v>1</v>
      </c>
      <c r="CQ11" s="197">
        <v>1</v>
      </c>
      <c r="CR11" s="197">
        <v>0</v>
      </c>
      <c r="CS11" s="197">
        <v>0</v>
      </c>
      <c r="CT11" s="197">
        <v>0</v>
      </c>
      <c r="CU11" s="197">
        <v>0</v>
      </c>
      <c r="CV11" s="197">
        <v>0</v>
      </c>
      <c r="CW11" s="197">
        <v>0</v>
      </c>
      <c r="CX11" s="197">
        <v>0</v>
      </c>
      <c r="CY11" s="197">
        <v>0</v>
      </c>
      <c r="CZ11" s="197">
        <v>0</v>
      </c>
      <c r="DA11" s="197">
        <v>0</v>
      </c>
      <c r="DB11" s="197">
        <v>0</v>
      </c>
      <c r="DC11" s="197">
        <v>0</v>
      </c>
      <c r="DD11" s="197">
        <v>0</v>
      </c>
      <c r="DE11" s="197">
        <v>0</v>
      </c>
      <c r="DF11" s="230">
        <v>0</v>
      </c>
      <c r="DG11" s="227">
        <f>+AVERAGE(B11:DF13)</f>
        <v>0.17475728155339806</v>
      </c>
      <c r="DH11" s="197">
        <v>0</v>
      </c>
      <c r="DI11" s="197">
        <v>0</v>
      </c>
      <c r="DJ11" s="203"/>
      <c r="DK11" s="197">
        <v>0</v>
      </c>
      <c r="DL11" s="197">
        <v>0</v>
      </c>
      <c r="DM11" s="197">
        <v>0</v>
      </c>
      <c r="DN11" s="197">
        <v>0</v>
      </c>
      <c r="DO11" s="197">
        <v>0</v>
      </c>
      <c r="DP11" s="197"/>
      <c r="DQ11" s="197">
        <v>0</v>
      </c>
      <c r="DR11" s="197">
        <v>0</v>
      </c>
      <c r="DS11" s="197">
        <v>0</v>
      </c>
      <c r="DT11" s="197">
        <v>0</v>
      </c>
      <c r="DU11" s="233"/>
      <c r="DV11" s="197">
        <v>0</v>
      </c>
      <c r="DW11" s="197">
        <v>0</v>
      </c>
      <c r="DX11" s="197">
        <v>0</v>
      </c>
      <c r="DY11" s="197">
        <v>0</v>
      </c>
      <c r="DZ11" s="197">
        <v>0</v>
      </c>
      <c r="EA11" s="197">
        <v>0</v>
      </c>
      <c r="EB11" s="197">
        <v>0</v>
      </c>
      <c r="EC11" s="197">
        <v>1</v>
      </c>
      <c r="ED11" s="197">
        <v>0</v>
      </c>
      <c r="EE11" s="197">
        <v>1</v>
      </c>
      <c r="EF11" s="197">
        <v>0</v>
      </c>
      <c r="EG11" s="197">
        <v>0</v>
      </c>
      <c r="EH11" s="197">
        <v>0</v>
      </c>
      <c r="EI11" s="197">
        <v>0</v>
      </c>
      <c r="EJ11" s="197">
        <v>1</v>
      </c>
      <c r="EK11" s="197">
        <v>0</v>
      </c>
      <c r="EL11" s="197">
        <v>0</v>
      </c>
      <c r="EM11" s="197">
        <v>0</v>
      </c>
      <c r="EN11" s="197">
        <v>0</v>
      </c>
      <c r="EO11" s="197">
        <v>0</v>
      </c>
      <c r="EP11" s="197">
        <v>0</v>
      </c>
      <c r="EQ11" s="197">
        <v>1</v>
      </c>
      <c r="ER11" s="197">
        <v>1</v>
      </c>
      <c r="ES11" s="197">
        <v>0</v>
      </c>
      <c r="ET11" s="197">
        <v>0</v>
      </c>
      <c r="EU11" s="197">
        <v>0</v>
      </c>
      <c r="EV11" s="197">
        <v>0</v>
      </c>
      <c r="EW11" s="197">
        <v>0</v>
      </c>
      <c r="EX11" s="197">
        <v>0</v>
      </c>
      <c r="EY11" s="197">
        <v>0</v>
      </c>
      <c r="EZ11" s="197">
        <v>0</v>
      </c>
      <c r="FA11" s="197">
        <v>0</v>
      </c>
      <c r="FB11" s="197">
        <v>0</v>
      </c>
      <c r="FC11" s="197">
        <v>1</v>
      </c>
      <c r="FD11" s="197">
        <v>0</v>
      </c>
      <c r="FE11" s="197">
        <v>0</v>
      </c>
      <c r="FF11" s="197">
        <v>0</v>
      </c>
      <c r="FG11" s="197">
        <v>0</v>
      </c>
      <c r="FH11" s="197">
        <v>0</v>
      </c>
      <c r="FI11" s="197">
        <v>0</v>
      </c>
      <c r="FJ11" s="197">
        <v>0</v>
      </c>
      <c r="FK11" s="197">
        <v>0</v>
      </c>
      <c r="FL11" s="227">
        <f>+AVERAGE(DH11:FK13)</f>
        <v>0.11320754716981132</v>
      </c>
      <c r="FM11" s="197">
        <v>0</v>
      </c>
      <c r="FN11" s="197">
        <v>0</v>
      </c>
      <c r="FO11" s="197">
        <v>0</v>
      </c>
      <c r="FP11" s="197">
        <v>0</v>
      </c>
      <c r="FQ11" s="197">
        <v>0</v>
      </c>
      <c r="FR11" s="197">
        <v>0</v>
      </c>
      <c r="FS11" s="197">
        <v>0</v>
      </c>
      <c r="FT11" s="197">
        <v>0</v>
      </c>
      <c r="FU11" s="197">
        <v>0</v>
      </c>
      <c r="FV11" s="197">
        <v>0</v>
      </c>
      <c r="FW11" s="197">
        <v>0</v>
      </c>
      <c r="FX11" s="197">
        <v>0</v>
      </c>
      <c r="FY11" s="197">
        <v>0</v>
      </c>
      <c r="FZ11" s="197">
        <v>0</v>
      </c>
      <c r="GA11" s="197">
        <v>0</v>
      </c>
      <c r="GB11" s="197">
        <v>0</v>
      </c>
      <c r="GC11" s="197">
        <v>0</v>
      </c>
      <c r="GD11" s="197">
        <v>0</v>
      </c>
      <c r="GE11" s="197">
        <v>0</v>
      </c>
      <c r="GF11" s="197">
        <v>1</v>
      </c>
      <c r="GG11" s="197">
        <v>1</v>
      </c>
      <c r="GH11" s="197">
        <v>0</v>
      </c>
      <c r="GI11" s="197">
        <v>0</v>
      </c>
      <c r="GJ11" s="197">
        <v>1</v>
      </c>
      <c r="GK11" s="197">
        <v>1</v>
      </c>
      <c r="GL11" s="197">
        <v>0</v>
      </c>
      <c r="GM11" s="197">
        <v>0</v>
      </c>
      <c r="GN11" s="197">
        <v>0</v>
      </c>
      <c r="GO11" s="197">
        <v>0</v>
      </c>
      <c r="GP11" s="197">
        <v>0</v>
      </c>
      <c r="GQ11" s="197">
        <v>0</v>
      </c>
      <c r="GR11" s="197">
        <v>0</v>
      </c>
      <c r="GS11" s="197">
        <v>0</v>
      </c>
      <c r="GT11" s="197">
        <v>1</v>
      </c>
      <c r="GU11" s="197">
        <v>0</v>
      </c>
      <c r="GV11" s="197">
        <v>0</v>
      </c>
      <c r="GW11" s="197">
        <v>0</v>
      </c>
      <c r="GX11" s="197">
        <v>0</v>
      </c>
      <c r="GY11" s="197">
        <v>0</v>
      </c>
      <c r="GZ11" s="197">
        <v>0</v>
      </c>
      <c r="HA11" s="197">
        <v>0</v>
      </c>
      <c r="HB11" s="227">
        <f t="shared" ref="HB11" si="1">+AVERAGE(FM11:HA13)</f>
        <v>0.12195121951219512</v>
      </c>
      <c r="HF11" s="116"/>
      <c r="HG11" s="116" t="s">
        <v>905</v>
      </c>
      <c r="HH11" s="118">
        <f>+DG102</f>
        <v>1</v>
      </c>
      <c r="HI11" s="118">
        <f>+FL102</f>
        <v>1</v>
      </c>
      <c r="HJ11" s="118">
        <f>+HB102</f>
        <v>1</v>
      </c>
    </row>
    <row r="12" spans="1:218" ht="15" customHeight="1">
      <c r="A12" s="98" t="s">
        <v>892</v>
      </c>
      <c r="B12" s="198"/>
      <c r="C12" s="171"/>
      <c r="D12" s="198"/>
      <c r="E12" s="171"/>
      <c r="F12" s="198"/>
      <c r="G12" s="168"/>
      <c r="H12" s="198"/>
      <c r="I12" s="198"/>
      <c r="J12" s="198"/>
      <c r="K12" s="198"/>
      <c r="L12" s="198"/>
      <c r="M12" s="168"/>
      <c r="N12" s="198"/>
      <c r="O12" s="198"/>
      <c r="P12" s="198"/>
      <c r="Q12" s="198"/>
      <c r="R12" s="171"/>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231"/>
      <c r="DG12" s="228"/>
      <c r="DH12" s="198"/>
      <c r="DI12" s="198"/>
      <c r="DJ12" s="204"/>
      <c r="DK12" s="198"/>
      <c r="DL12" s="198"/>
      <c r="DM12" s="198"/>
      <c r="DN12" s="198"/>
      <c r="DO12" s="198"/>
      <c r="DP12" s="198"/>
      <c r="DQ12" s="198"/>
      <c r="DR12" s="198"/>
      <c r="DS12" s="198"/>
      <c r="DT12" s="198"/>
      <c r="DU12" s="234"/>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22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228"/>
      <c r="HF12" s="116"/>
      <c r="HG12" s="116"/>
      <c r="HH12" s="117"/>
      <c r="HI12" s="117"/>
      <c r="HJ12" s="118"/>
    </row>
    <row r="13" spans="1:218" ht="127" thickBot="1">
      <c r="A13" s="65" t="s">
        <v>754</v>
      </c>
      <c r="B13" s="199"/>
      <c r="C13" s="172"/>
      <c r="D13" s="199"/>
      <c r="E13" s="172"/>
      <c r="F13" s="199"/>
      <c r="G13" s="169"/>
      <c r="H13" s="199"/>
      <c r="I13" s="199"/>
      <c r="J13" s="199"/>
      <c r="K13" s="199"/>
      <c r="L13" s="199"/>
      <c r="M13" s="169"/>
      <c r="N13" s="199"/>
      <c r="O13" s="199"/>
      <c r="P13" s="199"/>
      <c r="Q13" s="199"/>
      <c r="R13" s="172"/>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232"/>
      <c r="DG13" s="229"/>
      <c r="DH13" s="199"/>
      <c r="DI13" s="199"/>
      <c r="DJ13" s="205"/>
      <c r="DK13" s="199"/>
      <c r="DL13" s="199"/>
      <c r="DM13" s="199"/>
      <c r="DN13" s="199"/>
      <c r="DO13" s="199"/>
      <c r="DP13" s="199"/>
      <c r="DQ13" s="199"/>
      <c r="DR13" s="199"/>
      <c r="DS13" s="199"/>
      <c r="DT13" s="199"/>
      <c r="DU13" s="235"/>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22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229"/>
      <c r="HF13" s="116"/>
      <c r="HG13" s="116"/>
      <c r="HH13" s="117"/>
      <c r="HI13" s="117"/>
      <c r="HJ13" s="118"/>
    </row>
    <row r="14" spans="1:218" ht="16" customHeight="1" thickTop="1">
      <c r="A14" s="68" t="s">
        <v>753</v>
      </c>
      <c r="B14" s="197">
        <v>1</v>
      </c>
      <c r="C14" s="170"/>
      <c r="D14" s="197">
        <v>1</v>
      </c>
      <c r="E14" s="170"/>
      <c r="F14" s="185">
        <v>0</v>
      </c>
      <c r="G14" s="167" t="s">
        <v>862</v>
      </c>
      <c r="H14" s="197">
        <v>1</v>
      </c>
      <c r="I14" s="197">
        <v>1</v>
      </c>
      <c r="J14" s="185">
        <v>1</v>
      </c>
      <c r="K14" s="167"/>
      <c r="L14" s="197">
        <v>0</v>
      </c>
      <c r="M14" s="167" t="s">
        <v>882</v>
      </c>
      <c r="N14" s="197">
        <v>1</v>
      </c>
      <c r="O14" s="185">
        <v>0</v>
      </c>
      <c r="P14" s="197">
        <v>1</v>
      </c>
      <c r="Q14" s="197">
        <v>1</v>
      </c>
      <c r="R14" s="170" t="s">
        <v>808</v>
      </c>
      <c r="S14" s="197">
        <v>1</v>
      </c>
      <c r="T14" s="197">
        <v>1</v>
      </c>
      <c r="U14" s="197">
        <v>1</v>
      </c>
      <c r="V14" s="197">
        <v>1</v>
      </c>
      <c r="W14" s="197">
        <v>1</v>
      </c>
      <c r="X14" s="197">
        <v>1</v>
      </c>
      <c r="Y14" s="197">
        <v>1</v>
      </c>
      <c r="Z14" s="197">
        <v>1</v>
      </c>
      <c r="AA14" s="197">
        <v>1</v>
      </c>
      <c r="AB14" s="197">
        <v>1</v>
      </c>
      <c r="AC14" s="197">
        <v>1</v>
      </c>
      <c r="AD14" s="197">
        <v>1</v>
      </c>
      <c r="AE14" s="197">
        <v>1</v>
      </c>
      <c r="AF14" s="197">
        <v>1</v>
      </c>
      <c r="AG14" s="197">
        <v>1</v>
      </c>
      <c r="AH14" s="197">
        <v>1</v>
      </c>
      <c r="AI14" s="197">
        <v>1</v>
      </c>
      <c r="AJ14" s="197">
        <v>1</v>
      </c>
      <c r="AK14" s="197">
        <v>1</v>
      </c>
      <c r="AL14" s="197">
        <v>0</v>
      </c>
      <c r="AM14" s="197">
        <v>1</v>
      </c>
      <c r="AN14" s="197">
        <v>0</v>
      </c>
      <c r="AO14" s="197">
        <v>0</v>
      </c>
      <c r="AP14" s="197">
        <v>1</v>
      </c>
      <c r="AQ14" s="197">
        <v>1</v>
      </c>
      <c r="AR14" s="197">
        <v>1</v>
      </c>
      <c r="AS14" s="197">
        <v>1</v>
      </c>
      <c r="AT14" s="197">
        <v>1</v>
      </c>
      <c r="AU14" s="197">
        <v>1</v>
      </c>
      <c r="AV14" s="197">
        <v>1</v>
      </c>
      <c r="AW14" s="197">
        <v>1</v>
      </c>
      <c r="AX14" s="197">
        <v>1</v>
      </c>
      <c r="AY14" s="197">
        <v>0</v>
      </c>
      <c r="AZ14" s="197">
        <v>1</v>
      </c>
      <c r="BA14" s="197">
        <v>1</v>
      </c>
      <c r="BB14" s="197">
        <v>1</v>
      </c>
      <c r="BC14" s="197">
        <v>1</v>
      </c>
      <c r="BD14" s="197">
        <v>1</v>
      </c>
      <c r="BE14" s="197">
        <v>0</v>
      </c>
      <c r="BF14" s="197">
        <v>1</v>
      </c>
      <c r="BG14" s="197">
        <v>1</v>
      </c>
      <c r="BH14" s="197">
        <v>1</v>
      </c>
      <c r="BI14" s="197">
        <v>0</v>
      </c>
      <c r="BJ14" s="197">
        <v>1</v>
      </c>
      <c r="BK14" s="197">
        <v>1</v>
      </c>
      <c r="BL14" s="197">
        <v>1</v>
      </c>
      <c r="BM14" s="197">
        <v>1</v>
      </c>
      <c r="BN14" s="197">
        <v>1</v>
      </c>
      <c r="BO14" s="197">
        <v>1</v>
      </c>
      <c r="BP14" s="197">
        <v>1</v>
      </c>
      <c r="BQ14" s="197">
        <v>1</v>
      </c>
      <c r="BR14" s="197">
        <v>0</v>
      </c>
      <c r="BS14" s="197">
        <v>1</v>
      </c>
      <c r="BT14" s="197">
        <v>1</v>
      </c>
      <c r="BU14" s="197">
        <v>1</v>
      </c>
      <c r="BV14" s="197">
        <v>1</v>
      </c>
      <c r="BW14" s="197">
        <v>1</v>
      </c>
      <c r="BX14" s="197">
        <v>1</v>
      </c>
      <c r="BY14" s="197">
        <v>0</v>
      </c>
      <c r="BZ14" s="197">
        <v>1</v>
      </c>
      <c r="CA14" s="197">
        <v>1</v>
      </c>
      <c r="CB14" s="197">
        <v>1</v>
      </c>
      <c r="CC14" s="197">
        <v>0</v>
      </c>
      <c r="CD14" s="197">
        <v>1</v>
      </c>
      <c r="CE14" s="197">
        <v>1</v>
      </c>
      <c r="CF14" s="197">
        <v>1</v>
      </c>
      <c r="CG14" s="197">
        <v>1</v>
      </c>
      <c r="CH14" s="197">
        <v>1</v>
      </c>
      <c r="CI14" s="197">
        <v>1</v>
      </c>
      <c r="CJ14" s="197">
        <v>1</v>
      </c>
      <c r="CK14" s="197">
        <v>1</v>
      </c>
      <c r="CL14" s="197">
        <v>0</v>
      </c>
      <c r="CM14" s="197">
        <v>1</v>
      </c>
      <c r="CN14" s="197">
        <v>1</v>
      </c>
      <c r="CO14" s="197">
        <v>1</v>
      </c>
      <c r="CP14" s="197">
        <v>1</v>
      </c>
      <c r="CQ14" s="197">
        <v>1</v>
      </c>
      <c r="CR14" s="197">
        <v>1</v>
      </c>
      <c r="CS14" s="197">
        <v>0</v>
      </c>
      <c r="CT14" s="197">
        <v>0</v>
      </c>
      <c r="CU14" s="197">
        <v>1</v>
      </c>
      <c r="CV14" s="197">
        <v>1</v>
      </c>
      <c r="CW14" s="197">
        <v>1</v>
      </c>
      <c r="CX14" s="197">
        <v>1</v>
      </c>
      <c r="CY14" s="197">
        <v>1</v>
      </c>
      <c r="CZ14" s="197">
        <v>1</v>
      </c>
      <c r="DA14" s="197">
        <v>1</v>
      </c>
      <c r="DB14" s="197">
        <v>1</v>
      </c>
      <c r="DC14" s="197">
        <v>1</v>
      </c>
      <c r="DD14" s="197">
        <v>1</v>
      </c>
      <c r="DE14" s="197">
        <v>1</v>
      </c>
      <c r="DF14" s="230">
        <v>1</v>
      </c>
      <c r="DG14" s="227">
        <f>+AVERAGE(B14:DF16)</f>
        <v>0.85436893203883491</v>
      </c>
      <c r="DH14" s="197">
        <v>1</v>
      </c>
      <c r="DI14" s="185">
        <v>0</v>
      </c>
      <c r="DJ14" s="203" t="s">
        <v>862</v>
      </c>
      <c r="DK14" s="197">
        <v>1</v>
      </c>
      <c r="DL14" s="197">
        <v>1</v>
      </c>
      <c r="DM14" s="185">
        <v>1</v>
      </c>
      <c r="DN14" s="197">
        <v>1</v>
      </c>
      <c r="DO14" s="185">
        <v>1</v>
      </c>
      <c r="DP14" s="203"/>
      <c r="DQ14" s="197">
        <v>1</v>
      </c>
      <c r="DR14" s="185">
        <v>0</v>
      </c>
      <c r="DS14" s="197">
        <v>1</v>
      </c>
      <c r="DT14" s="197">
        <v>1</v>
      </c>
      <c r="DU14" s="233" t="s">
        <v>808</v>
      </c>
      <c r="DV14" s="197">
        <v>1</v>
      </c>
      <c r="DW14" s="197">
        <v>1</v>
      </c>
      <c r="DX14" s="197">
        <v>0</v>
      </c>
      <c r="DY14" s="197">
        <v>1</v>
      </c>
      <c r="DZ14" s="197">
        <v>1</v>
      </c>
      <c r="EA14" s="197">
        <v>1</v>
      </c>
      <c r="EB14" s="197">
        <v>1</v>
      </c>
      <c r="EC14" s="197">
        <v>1</v>
      </c>
      <c r="ED14" s="197">
        <v>1</v>
      </c>
      <c r="EE14" s="197">
        <v>0</v>
      </c>
      <c r="EF14" s="197">
        <v>1</v>
      </c>
      <c r="EG14" s="197">
        <v>1</v>
      </c>
      <c r="EH14" s="197">
        <v>1</v>
      </c>
      <c r="EI14" s="197">
        <v>1</v>
      </c>
      <c r="EJ14" s="197">
        <v>1</v>
      </c>
      <c r="EK14" s="197">
        <v>1</v>
      </c>
      <c r="EL14" s="197">
        <v>1</v>
      </c>
      <c r="EM14" s="197">
        <v>1</v>
      </c>
      <c r="EN14" s="197">
        <v>1</v>
      </c>
      <c r="EO14" s="197">
        <v>1</v>
      </c>
      <c r="EP14" s="197">
        <v>1</v>
      </c>
      <c r="EQ14" s="197">
        <v>1</v>
      </c>
      <c r="ER14" s="197">
        <v>1</v>
      </c>
      <c r="ES14" s="197">
        <v>1</v>
      </c>
      <c r="ET14" s="197">
        <v>0</v>
      </c>
      <c r="EU14" s="197">
        <v>1</v>
      </c>
      <c r="EV14" s="197">
        <v>1</v>
      </c>
      <c r="EW14" s="197">
        <v>1</v>
      </c>
      <c r="EX14" s="197">
        <v>1</v>
      </c>
      <c r="EY14" s="197">
        <v>0</v>
      </c>
      <c r="EZ14" s="197">
        <v>0</v>
      </c>
      <c r="FA14" s="197">
        <v>1</v>
      </c>
      <c r="FB14" s="197">
        <v>1</v>
      </c>
      <c r="FC14" s="197">
        <v>1</v>
      </c>
      <c r="FD14" s="197">
        <v>1</v>
      </c>
      <c r="FE14" s="197">
        <v>0</v>
      </c>
      <c r="FF14" s="197">
        <v>1</v>
      </c>
      <c r="FG14" s="197">
        <v>1</v>
      </c>
      <c r="FH14" s="197">
        <v>1</v>
      </c>
      <c r="FI14" s="197">
        <v>1</v>
      </c>
      <c r="FJ14" s="197">
        <v>1</v>
      </c>
      <c r="FK14" s="197">
        <v>1</v>
      </c>
      <c r="FL14" s="227">
        <f>+AVERAGE(DH14:FK16)</f>
        <v>0.84905660377358494</v>
      </c>
      <c r="FM14" s="185">
        <v>0</v>
      </c>
      <c r="FN14" s="197">
        <v>1</v>
      </c>
      <c r="FO14" s="197">
        <v>1</v>
      </c>
      <c r="FP14" s="197">
        <v>1</v>
      </c>
      <c r="FQ14" s="185">
        <v>1</v>
      </c>
      <c r="FR14" s="197">
        <v>1</v>
      </c>
      <c r="FS14" s="197">
        <v>1</v>
      </c>
      <c r="FT14" s="197">
        <v>1</v>
      </c>
      <c r="FU14" s="197">
        <v>1</v>
      </c>
      <c r="FV14" s="197">
        <v>1</v>
      </c>
      <c r="FW14" s="197">
        <v>1</v>
      </c>
      <c r="FX14" s="197">
        <v>1</v>
      </c>
      <c r="FY14" s="197">
        <v>1</v>
      </c>
      <c r="FZ14" s="197">
        <v>0</v>
      </c>
      <c r="GA14" s="197">
        <v>1</v>
      </c>
      <c r="GB14" s="197">
        <v>1</v>
      </c>
      <c r="GC14" s="197">
        <v>1</v>
      </c>
      <c r="GD14" s="197">
        <v>1</v>
      </c>
      <c r="GE14" s="197">
        <v>1</v>
      </c>
      <c r="GF14" s="197">
        <v>1</v>
      </c>
      <c r="GG14" s="197">
        <v>1</v>
      </c>
      <c r="GH14" s="197">
        <v>1</v>
      </c>
      <c r="GI14" s="197">
        <v>1</v>
      </c>
      <c r="GJ14" s="197">
        <v>1</v>
      </c>
      <c r="GK14" s="197">
        <v>1</v>
      </c>
      <c r="GL14" s="197">
        <v>1</v>
      </c>
      <c r="GM14" s="197">
        <v>1</v>
      </c>
      <c r="GN14" s="197">
        <v>0</v>
      </c>
      <c r="GO14" s="197">
        <v>1</v>
      </c>
      <c r="GP14" s="197">
        <v>1</v>
      </c>
      <c r="GQ14" s="197">
        <v>1</v>
      </c>
      <c r="GR14" s="197">
        <v>1</v>
      </c>
      <c r="GS14" s="197">
        <v>1</v>
      </c>
      <c r="GT14" s="197">
        <v>1</v>
      </c>
      <c r="GU14" s="197">
        <v>1</v>
      </c>
      <c r="GV14" s="197">
        <v>0</v>
      </c>
      <c r="GW14" s="197">
        <v>1</v>
      </c>
      <c r="GX14" s="197">
        <v>1</v>
      </c>
      <c r="GY14" s="197">
        <v>1</v>
      </c>
      <c r="GZ14" s="197">
        <v>1</v>
      </c>
      <c r="HA14" s="197">
        <v>1</v>
      </c>
      <c r="HB14" s="227">
        <f t="shared" ref="HB14" si="2">+AVERAGE(FM14:HA16)</f>
        <v>0.90243902439024393</v>
      </c>
      <c r="HH14" s="117"/>
      <c r="HI14" s="117"/>
      <c r="HJ14" s="117"/>
    </row>
    <row r="15" spans="1:218" ht="15" customHeight="1">
      <c r="A15" s="67"/>
      <c r="B15" s="198"/>
      <c r="C15" s="171"/>
      <c r="D15" s="198"/>
      <c r="E15" s="171"/>
      <c r="F15" s="186"/>
      <c r="G15" s="168"/>
      <c r="H15" s="198"/>
      <c r="I15" s="198"/>
      <c r="J15" s="186"/>
      <c r="K15" s="168"/>
      <c r="L15" s="198"/>
      <c r="M15" s="168"/>
      <c r="N15" s="198"/>
      <c r="O15" s="186"/>
      <c r="P15" s="198"/>
      <c r="Q15" s="198"/>
      <c r="R15" s="171"/>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231"/>
      <c r="DG15" s="228"/>
      <c r="DH15" s="198"/>
      <c r="DI15" s="186"/>
      <c r="DJ15" s="204"/>
      <c r="DK15" s="198"/>
      <c r="DL15" s="198"/>
      <c r="DM15" s="186"/>
      <c r="DN15" s="198"/>
      <c r="DO15" s="186"/>
      <c r="DP15" s="204"/>
      <c r="DQ15" s="198"/>
      <c r="DR15" s="186"/>
      <c r="DS15" s="198"/>
      <c r="DT15" s="198"/>
      <c r="DU15" s="234"/>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228"/>
      <c r="FM15" s="186"/>
      <c r="FN15" s="198"/>
      <c r="FO15" s="198"/>
      <c r="FP15" s="198"/>
      <c r="FQ15" s="186"/>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228"/>
      <c r="HH15" s="117"/>
      <c r="HI15" s="117"/>
      <c r="HJ15" s="117"/>
    </row>
    <row r="16" spans="1:218" ht="108" thickBot="1">
      <c r="A16" s="65" t="s">
        <v>752</v>
      </c>
      <c r="B16" s="199"/>
      <c r="C16" s="172"/>
      <c r="D16" s="199"/>
      <c r="E16" s="172"/>
      <c r="F16" s="187"/>
      <c r="G16" s="169"/>
      <c r="H16" s="199"/>
      <c r="I16" s="199"/>
      <c r="J16" s="187"/>
      <c r="K16" s="169"/>
      <c r="L16" s="199"/>
      <c r="M16" s="169"/>
      <c r="N16" s="199"/>
      <c r="O16" s="187"/>
      <c r="P16" s="199"/>
      <c r="Q16" s="199"/>
      <c r="R16" s="172"/>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232"/>
      <c r="DG16" s="229"/>
      <c r="DH16" s="199"/>
      <c r="DI16" s="187"/>
      <c r="DJ16" s="205"/>
      <c r="DK16" s="199"/>
      <c r="DL16" s="199"/>
      <c r="DM16" s="187"/>
      <c r="DN16" s="199"/>
      <c r="DO16" s="187"/>
      <c r="DP16" s="205"/>
      <c r="DQ16" s="199"/>
      <c r="DR16" s="187"/>
      <c r="DS16" s="199"/>
      <c r="DT16" s="199"/>
      <c r="DU16" s="235"/>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229"/>
      <c r="FM16" s="187"/>
      <c r="FN16" s="199"/>
      <c r="FO16" s="199"/>
      <c r="FP16" s="199"/>
      <c r="FQ16" s="187"/>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229"/>
    </row>
    <row r="17" spans="1:210" ht="22" customHeight="1" thickTop="1" thickBot="1">
      <c r="A17" s="80" t="s">
        <v>751</v>
      </c>
      <c r="B17" s="81"/>
      <c r="C17" s="76"/>
      <c r="D17" s="76"/>
      <c r="E17" s="76"/>
      <c r="F17" s="96"/>
      <c r="G17" s="97"/>
      <c r="H17" s="89"/>
      <c r="I17" s="89"/>
      <c r="J17" s="96"/>
      <c r="K17" s="97"/>
      <c r="L17" s="89"/>
      <c r="M17" s="97"/>
      <c r="N17" s="89"/>
      <c r="O17" s="96"/>
      <c r="P17" s="76"/>
      <c r="Q17" s="76"/>
      <c r="R17" s="76"/>
      <c r="S17" s="89"/>
      <c r="T17" s="89"/>
      <c r="U17" s="99"/>
      <c r="V17" s="89"/>
      <c r="W17" s="89"/>
      <c r="X17" s="89"/>
      <c r="Y17" s="99"/>
      <c r="Z17" s="89"/>
      <c r="AA17" s="89"/>
      <c r="AB17" s="89"/>
      <c r="AC17" s="89"/>
      <c r="AD17" s="89"/>
      <c r="AE17" s="89"/>
      <c r="AF17" s="89"/>
      <c r="AG17" s="89"/>
      <c r="AH17" s="89"/>
      <c r="AI17" s="89"/>
      <c r="AJ17" s="99"/>
      <c r="AK17" s="89"/>
      <c r="AL17" s="89"/>
      <c r="AM17" s="99"/>
      <c r="AN17" s="89"/>
      <c r="AO17" s="89"/>
      <c r="AP17" s="89"/>
      <c r="AQ17" s="89"/>
      <c r="AR17" s="99"/>
      <c r="AS17" s="89"/>
      <c r="AT17" s="89"/>
      <c r="AU17" s="89"/>
      <c r="AV17" s="89"/>
      <c r="AW17" s="89"/>
      <c r="AX17" s="89"/>
      <c r="AY17" s="99"/>
      <c r="AZ17" s="89"/>
      <c r="BA17" s="89"/>
      <c r="BB17" s="89"/>
      <c r="BC17" s="89"/>
      <c r="BD17" s="89"/>
      <c r="BE17" s="89"/>
      <c r="BF17" s="89"/>
      <c r="BG17" s="89"/>
      <c r="BH17" s="89"/>
      <c r="BI17" s="99"/>
      <c r="BJ17" s="89"/>
      <c r="BK17" s="89"/>
      <c r="BL17" s="89"/>
      <c r="BM17" s="89"/>
      <c r="BN17" s="89"/>
      <c r="BO17" s="89"/>
      <c r="BP17" s="89"/>
      <c r="BQ17" s="89"/>
      <c r="BR17" s="99"/>
      <c r="BS17" s="99"/>
      <c r="BT17" s="89"/>
      <c r="BU17" s="89"/>
      <c r="BV17" s="89"/>
      <c r="BW17" s="89"/>
      <c r="BX17" s="99"/>
      <c r="BY17" s="89"/>
      <c r="BZ17" s="89"/>
      <c r="CA17" s="89"/>
      <c r="CB17" s="99"/>
      <c r="CC17" s="89"/>
      <c r="CD17" s="89"/>
      <c r="CE17" s="89"/>
      <c r="CF17" s="89"/>
      <c r="CG17" s="99"/>
      <c r="CH17" s="89"/>
      <c r="CI17" s="89"/>
      <c r="CJ17" s="89"/>
      <c r="CK17" s="89"/>
      <c r="CL17" s="89"/>
      <c r="CM17" s="89"/>
      <c r="CN17" s="89"/>
      <c r="CO17" s="89"/>
      <c r="CP17" s="89"/>
      <c r="CQ17" s="89"/>
      <c r="CR17" s="99"/>
      <c r="CS17" s="89"/>
      <c r="CT17" s="89"/>
      <c r="CU17" s="89"/>
      <c r="CV17" s="89"/>
      <c r="CW17" s="99"/>
      <c r="CX17" s="99"/>
      <c r="CY17" s="89"/>
      <c r="CZ17" s="89"/>
      <c r="DA17" s="89"/>
      <c r="DB17" s="89"/>
      <c r="DC17" s="89"/>
      <c r="DD17" s="89"/>
      <c r="DE17" s="89"/>
      <c r="DF17" s="89"/>
      <c r="DG17" s="106">
        <f>+AVERAGE(DG18:DG32)</f>
        <v>0.96885589187131171</v>
      </c>
      <c r="DH17" s="89"/>
      <c r="DI17" s="96"/>
      <c r="DJ17" s="112"/>
      <c r="DK17" s="89"/>
      <c r="DL17" s="89"/>
      <c r="DM17" s="96"/>
      <c r="DN17" s="89"/>
      <c r="DO17" s="96"/>
      <c r="DP17" s="112"/>
      <c r="DQ17" s="89"/>
      <c r="DR17" s="96"/>
      <c r="DS17" s="76"/>
      <c r="DT17" s="89"/>
      <c r="DU17" s="89"/>
      <c r="DV17" s="99"/>
      <c r="DW17" s="89"/>
      <c r="DX17" s="89"/>
      <c r="DY17" s="99"/>
      <c r="DZ17" s="89"/>
      <c r="EA17" s="99"/>
      <c r="EB17" s="99"/>
      <c r="EC17" s="89"/>
      <c r="ED17" s="99"/>
      <c r="EE17" s="89"/>
      <c r="EF17" s="89"/>
      <c r="EG17" s="89"/>
      <c r="EH17" s="89"/>
      <c r="EI17" s="89"/>
      <c r="EJ17" s="89"/>
      <c r="EK17" s="89"/>
      <c r="EL17" s="89"/>
      <c r="EM17" s="89"/>
      <c r="EN17" s="89"/>
      <c r="EO17" s="89"/>
      <c r="EP17" s="89"/>
      <c r="EQ17" s="89"/>
      <c r="ER17" s="89"/>
      <c r="ES17" s="89"/>
      <c r="ET17" s="89"/>
      <c r="EU17" s="89"/>
      <c r="EV17" s="89"/>
      <c r="EW17" s="89"/>
      <c r="EX17" s="99"/>
      <c r="EY17" s="89"/>
      <c r="EZ17" s="99"/>
      <c r="FA17" s="89"/>
      <c r="FB17" s="89"/>
      <c r="FC17" s="89"/>
      <c r="FD17" s="99"/>
      <c r="FE17" s="89"/>
      <c r="FF17" s="89"/>
      <c r="FG17" s="89"/>
      <c r="FH17" s="89"/>
      <c r="FI17" s="89"/>
      <c r="FJ17" s="89"/>
      <c r="FK17" s="89"/>
      <c r="FL17" s="106">
        <f>+AVERAGE(FL18:FL32)</f>
        <v>0.97358490566037736</v>
      </c>
      <c r="FM17" s="96"/>
      <c r="FN17" s="89"/>
      <c r="FO17" s="89"/>
      <c r="FP17" s="89"/>
      <c r="FQ17" s="96"/>
      <c r="FR17" s="89"/>
      <c r="FS17" s="89"/>
      <c r="FT17" s="99"/>
      <c r="FU17" s="99"/>
      <c r="FV17" s="89"/>
      <c r="FW17" s="89"/>
      <c r="FX17" s="99"/>
      <c r="FY17" s="99"/>
      <c r="FZ17" s="89"/>
      <c r="GA17" s="89"/>
      <c r="GB17" s="99"/>
      <c r="GC17" s="89"/>
      <c r="GD17" s="89"/>
      <c r="GE17" s="89"/>
      <c r="GF17" s="89"/>
      <c r="GG17" s="89"/>
      <c r="GH17" s="89"/>
      <c r="GI17" s="89"/>
      <c r="GJ17" s="89"/>
      <c r="GK17" s="89"/>
      <c r="GL17" s="89"/>
      <c r="GM17" s="89"/>
      <c r="GN17" s="89"/>
      <c r="GO17" s="89"/>
      <c r="GP17" s="89"/>
      <c r="GQ17" s="99"/>
      <c r="GR17" s="89"/>
      <c r="GS17" s="89"/>
      <c r="GT17" s="89"/>
      <c r="GU17" s="99"/>
      <c r="GV17" s="89"/>
      <c r="GW17" s="99"/>
      <c r="GX17" s="89"/>
      <c r="GY17" s="89"/>
      <c r="GZ17" s="89"/>
      <c r="HA17" s="89"/>
      <c r="HB17" s="106">
        <f>+AVERAGE(HB18:HB32)</f>
        <v>0.96585365853658534</v>
      </c>
    </row>
    <row r="18" spans="1:210" ht="16" customHeight="1" thickTop="1">
      <c r="A18" s="59" t="s">
        <v>750</v>
      </c>
      <c r="B18" s="218">
        <v>1</v>
      </c>
      <c r="C18" s="176" t="s">
        <v>834</v>
      </c>
      <c r="D18" s="215">
        <v>1</v>
      </c>
      <c r="E18" s="176" t="s">
        <v>838</v>
      </c>
      <c r="F18" s="218">
        <v>1</v>
      </c>
      <c r="G18" s="176" t="s">
        <v>863</v>
      </c>
      <c r="H18" s="215">
        <v>1</v>
      </c>
      <c r="I18" s="215">
        <v>1</v>
      </c>
      <c r="J18" s="218">
        <v>1</v>
      </c>
      <c r="K18" s="176"/>
      <c r="L18" s="215">
        <v>1</v>
      </c>
      <c r="M18" s="176"/>
      <c r="N18" s="215">
        <v>1</v>
      </c>
      <c r="O18" s="218">
        <v>1</v>
      </c>
      <c r="P18" s="200">
        <v>0</v>
      </c>
      <c r="Q18" s="200">
        <v>1</v>
      </c>
      <c r="R18" s="170" t="s">
        <v>809</v>
      </c>
      <c r="S18" s="200">
        <v>0</v>
      </c>
      <c r="T18" s="200">
        <v>1</v>
      </c>
      <c r="U18" s="200">
        <v>1</v>
      </c>
      <c r="V18" s="200">
        <v>1</v>
      </c>
      <c r="W18" s="200">
        <v>1</v>
      </c>
      <c r="X18" s="200">
        <v>1</v>
      </c>
      <c r="Y18" s="200">
        <v>1</v>
      </c>
      <c r="Z18" s="200">
        <v>1</v>
      </c>
      <c r="AA18" s="200">
        <v>1</v>
      </c>
      <c r="AB18" s="200">
        <v>1</v>
      </c>
      <c r="AC18" s="200">
        <v>1</v>
      </c>
      <c r="AD18" s="200">
        <v>1</v>
      </c>
      <c r="AE18" s="200">
        <v>1</v>
      </c>
      <c r="AF18" s="200">
        <v>1</v>
      </c>
      <c r="AG18" s="200">
        <v>1</v>
      </c>
      <c r="AH18" s="200">
        <v>0</v>
      </c>
      <c r="AI18" s="200">
        <v>0</v>
      </c>
      <c r="AJ18" s="200">
        <v>1</v>
      </c>
      <c r="AK18" s="200">
        <v>1</v>
      </c>
      <c r="AL18" s="200">
        <v>1</v>
      </c>
      <c r="AM18" s="200">
        <v>1</v>
      </c>
      <c r="AN18" s="200">
        <v>1</v>
      </c>
      <c r="AO18" s="200">
        <v>1</v>
      </c>
      <c r="AP18" s="200">
        <v>0</v>
      </c>
      <c r="AQ18" s="200">
        <v>1</v>
      </c>
      <c r="AR18" s="200">
        <v>0</v>
      </c>
      <c r="AS18" s="200">
        <v>1</v>
      </c>
      <c r="AT18" s="200">
        <v>1</v>
      </c>
      <c r="AU18" s="200">
        <v>1</v>
      </c>
      <c r="AV18" s="200">
        <v>1</v>
      </c>
      <c r="AW18" s="200">
        <v>1</v>
      </c>
      <c r="AX18" s="200">
        <v>1</v>
      </c>
      <c r="AY18" s="200">
        <v>1</v>
      </c>
      <c r="AZ18" s="200">
        <v>1</v>
      </c>
      <c r="BA18" s="200">
        <v>1</v>
      </c>
      <c r="BB18" s="200">
        <v>1</v>
      </c>
      <c r="BC18" s="200">
        <v>1</v>
      </c>
      <c r="BD18" s="200">
        <v>1</v>
      </c>
      <c r="BE18" s="200">
        <v>1</v>
      </c>
      <c r="BF18" s="200">
        <v>1</v>
      </c>
      <c r="BG18" s="200">
        <v>1</v>
      </c>
      <c r="BH18" s="200">
        <v>1</v>
      </c>
      <c r="BI18" s="200">
        <v>1</v>
      </c>
      <c r="BJ18" s="200">
        <v>1</v>
      </c>
      <c r="BK18" s="200">
        <v>1</v>
      </c>
      <c r="BL18" s="200">
        <v>1</v>
      </c>
      <c r="BM18" s="200">
        <v>1</v>
      </c>
      <c r="BN18" s="200">
        <v>1</v>
      </c>
      <c r="BO18" s="200">
        <v>1</v>
      </c>
      <c r="BP18" s="200">
        <v>1</v>
      </c>
      <c r="BQ18" s="200">
        <v>1</v>
      </c>
      <c r="BR18" s="200">
        <v>1</v>
      </c>
      <c r="BS18" s="200">
        <v>1</v>
      </c>
      <c r="BT18" s="200">
        <v>1</v>
      </c>
      <c r="BU18" s="200">
        <v>1</v>
      </c>
      <c r="BV18" s="200">
        <v>1</v>
      </c>
      <c r="BW18" s="200">
        <v>1</v>
      </c>
      <c r="BX18" s="200">
        <v>1</v>
      </c>
      <c r="BY18" s="200">
        <v>1</v>
      </c>
      <c r="BZ18" s="200">
        <v>1</v>
      </c>
      <c r="CA18" s="200">
        <v>1</v>
      </c>
      <c r="CB18" s="200">
        <v>1</v>
      </c>
      <c r="CC18" s="200">
        <v>1</v>
      </c>
      <c r="CD18" s="200">
        <v>1</v>
      </c>
      <c r="CE18" s="200">
        <v>1</v>
      </c>
      <c r="CF18" s="200">
        <v>1</v>
      </c>
      <c r="CG18" s="200">
        <v>1</v>
      </c>
      <c r="CH18" s="200">
        <v>1</v>
      </c>
      <c r="CI18" s="200">
        <v>1</v>
      </c>
      <c r="CJ18" s="200">
        <v>1</v>
      </c>
      <c r="CK18" s="200">
        <v>1</v>
      </c>
      <c r="CL18" s="200">
        <v>1</v>
      </c>
      <c r="CM18" s="200">
        <v>1</v>
      </c>
      <c r="CN18" s="200">
        <v>1</v>
      </c>
      <c r="CO18" s="200">
        <v>1</v>
      </c>
      <c r="CP18" s="200">
        <v>1</v>
      </c>
      <c r="CQ18" s="200">
        <v>1</v>
      </c>
      <c r="CR18" s="200">
        <v>1</v>
      </c>
      <c r="CS18" s="200">
        <v>1</v>
      </c>
      <c r="CT18" s="200">
        <v>0</v>
      </c>
      <c r="CU18" s="200">
        <v>1</v>
      </c>
      <c r="CV18" s="200">
        <v>1</v>
      </c>
      <c r="CW18" s="200">
        <v>1</v>
      </c>
      <c r="CX18" s="200">
        <v>1</v>
      </c>
      <c r="CY18" s="200">
        <v>1</v>
      </c>
      <c r="CZ18" s="200">
        <v>0</v>
      </c>
      <c r="DA18" s="200">
        <v>1</v>
      </c>
      <c r="DB18" s="200">
        <v>1</v>
      </c>
      <c r="DC18" s="200">
        <v>1</v>
      </c>
      <c r="DD18" s="200">
        <v>1</v>
      </c>
      <c r="DE18" s="200">
        <v>1</v>
      </c>
      <c r="DF18" s="224">
        <v>1</v>
      </c>
      <c r="DG18" s="227">
        <f>+AVERAGE(B18:DF20)</f>
        <v>0.92233009708737868</v>
      </c>
      <c r="DH18" s="215">
        <v>1</v>
      </c>
      <c r="DI18" s="218">
        <v>1</v>
      </c>
      <c r="DJ18" s="236" t="s">
        <v>863</v>
      </c>
      <c r="DK18" s="215">
        <v>1</v>
      </c>
      <c r="DL18" s="215">
        <v>1</v>
      </c>
      <c r="DM18" s="218">
        <v>1</v>
      </c>
      <c r="DN18" s="215">
        <v>1</v>
      </c>
      <c r="DO18" s="218">
        <v>1</v>
      </c>
      <c r="DP18" s="236"/>
      <c r="DQ18" s="215">
        <v>1</v>
      </c>
      <c r="DR18" s="218">
        <v>1</v>
      </c>
      <c r="DS18" s="200">
        <v>0</v>
      </c>
      <c r="DT18" s="200">
        <v>1</v>
      </c>
      <c r="DU18" s="233" t="s">
        <v>809</v>
      </c>
      <c r="DV18" s="200">
        <v>1</v>
      </c>
      <c r="DW18" s="200">
        <v>1</v>
      </c>
      <c r="DX18" s="200">
        <v>1</v>
      </c>
      <c r="DY18" s="200">
        <v>1</v>
      </c>
      <c r="DZ18" s="200">
        <v>1</v>
      </c>
      <c r="EA18" s="200">
        <v>1</v>
      </c>
      <c r="EB18" s="200">
        <v>1</v>
      </c>
      <c r="EC18" s="200">
        <v>1</v>
      </c>
      <c r="ED18" s="200">
        <v>1</v>
      </c>
      <c r="EE18" s="200">
        <v>1</v>
      </c>
      <c r="EF18" s="200">
        <v>0</v>
      </c>
      <c r="EG18" s="200">
        <v>1</v>
      </c>
      <c r="EH18" s="200">
        <v>1</v>
      </c>
      <c r="EI18" s="200">
        <v>1</v>
      </c>
      <c r="EJ18" s="200">
        <v>1</v>
      </c>
      <c r="EK18" s="200">
        <v>1</v>
      </c>
      <c r="EL18" s="200">
        <v>1</v>
      </c>
      <c r="EM18" s="200">
        <v>1</v>
      </c>
      <c r="EN18" s="200">
        <v>1</v>
      </c>
      <c r="EO18" s="200">
        <v>1</v>
      </c>
      <c r="EP18" s="200">
        <v>1</v>
      </c>
      <c r="EQ18" s="200">
        <v>1</v>
      </c>
      <c r="ER18" s="200">
        <v>1</v>
      </c>
      <c r="ES18" s="200">
        <v>1</v>
      </c>
      <c r="ET18" s="200">
        <v>1</v>
      </c>
      <c r="EU18" s="200">
        <v>1</v>
      </c>
      <c r="EV18" s="200">
        <v>1</v>
      </c>
      <c r="EW18" s="200">
        <v>1</v>
      </c>
      <c r="EX18" s="200">
        <v>1</v>
      </c>
      <c r="EY18" s="200">
        <v>1</v>
      </c>
      <c r="EZ18" s="200">
        <v>1</v>
      </c>
      <c r="FA18" s="200">
        <v>1</v>
      </c>
      <c r="FB18" s="200">
        <v>1</v>
      </c>
      <c r="FC18" s="200">
        <v>1</v>
      </c>
      <c r="FD18" s="200">
        <v>1</v>
      </c>
      <c r="FE18" s="200">
        <v>0</v>
      </c>
      <c r="FF18" s="200">
        <v>1</v>
      </c>
      <c r="FG18" s="200">
        <v>1</v>
      </c>
      <c r="FH18" s="200">
        <v>1</v>
      </c>
      <c r="FI18" s="200">
        <v>1</v>
      </c>
      <c r="FJ18" s="200">
        <v>1</v>
      </c>
      <c r="FK18" s="200">
        <v>1</v>
      </c>
      <c r="FL18" s="227">
        <f>+AVERAGE(DH18:FK20)</f>
        <v>0.94339622641509435</v>
      </c>
      <c r="FM18" s="218">
        <v>1</v>
      </c>
      <c r="FN18" s="215">
        <v>1</v>
      </c>
      <c r="FO18" s="215">
        <v>1</v>
      </c>
      <c r="FP18" s="215">
        <v>1</v>
      </c>
      <c r="FQ18" s="218">
        <v>1</v>
      </c>
      <c r="FR18" s="200">
        <v>0</v>
      </c>
      <c r="FS18" s="200">
        <v>1</v>
      </c>
      <c r="FT18" s="200">
        <v>1</v>
      </c>
      <c r="FU18" s="200">
        <v>1</v>
      </c>
      <c r="FV18" s="200">
        <v>1</v>
      </c>
      <c r="FW18" s="200">
        <v>1</v>
      </c>
      <c r="FX18" s="200">
        <v>1</v>
      </c>
      <c r="FY18" s="200">
        <v>1</v>
      </c>
      <c r="FZ18" s="200">
        <v>1</v>
      </c>
      <c r="GA18" s="200">
        <v>0</v>
      </c>
      <c r="GB18" s="200">
        <v>0</v>
      </c>
      <c r="GC18" s="200">
        <v>1</v>
      </c>
      <c r="GD18" s="200">
        <v>1</v>
      </c>
      <c r="GE18" s="200">
        <v>1</v>
      </c>
      <c r="GF18" s="200">
        <v>1</v>
      </c>
      <c r="GG18" s="200">
        <v>1</v>
      </c>
      <c r="GH18" s="200">
        <v>1</v>
      </c>
      <c r="GI18" s="200">
        <v>1</v>
      </c>
      <c r="GJ18" s="200">
        <v>1</v>
      </c>
      <c r="GK18" s="200">
        <v>1</v>
      </c>
      <c r="GL18" s="200">
        <v>1</v>
      </c>
      <c r="GM18" s="200">
        <v>1</v>
      </c>
      <c r="GN18" s="200">
        <v>1</v>
      </c>
      <c r="GO18" s="200">
        <v>1</v>
      </c>
      <c r="GP18" s="200">
        <v>1</v>
      </c>
      <c r="GQ18" s="200">
        <v>1</v>
      </c>
      <c r="GR18" s="200">
        <v>1</v>
      </c>
      <c r="GS18" s="200">
        <v>1</v>
      </c>
      <c r="GT18" s="200">
        <v>1</v>
      </c>
      <c r="GU18" s="200">
        <v>1</v>
      </c>
      <c r="GV18" s="200">
        <v>0</v>
      </c>
      <c r="GW18" s="200">
        <v>1</v>
      </c>
      <c r="GX18" s="200">
        <v>0</v>
      </c>
      <c r="GY18" s="200">
        <v>1</v>
      </c>
      <c r="GZ18" s="200">
        <v>1</v>
      </c>
      <c r="HA18" s="200">
        <v>1</v>
      </c>
      <c r="HB18" s="227">
        <f>+AVERAGE(FM18:HA20)</f>
        <v>0.87804878048780488</v>
      </c>
    </row>
    <row r="19" spans="1:210" ht="15" customHeight="1">
      <c r="A19" s="66" t="s">
        <v>25</v>
      </c>
      <c r="B19" s="219"/>
      <c r="C19" s="177"/>
      <c r="D19" s="216"/>
      <c r="E19" s="177"/>
      <c r="F19" s="219"/>
      <c r="G19" s="177"/>
      <c r="H19" s="216"/>
      <c r="I19" s="216"/>
      <c r="J19" s="219"/>
      <c r="K19" s="177"/>
      <c r="L19" s="216"/>
      <c r="M19" s="177"/>
      <c r="N19" s="216"/>
      <c r="O19" s="219"/>
      <c r="P19" s="201"/>
      <c r="Q19" s="201"/>
      <c r="R19" s="17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25"/>
      <c r="DG19" s="228"/>
      <c r="DH19" s="216"/>
      <c r="DI19" s="219"/>
      <c r="DJ19" s="237"/>
      <c r="DK19" s="216"/>
      <c r="DL19" s="216"/>
      <c r="DM19" s="219"/>
      <c r="DN19" s="216"/>
      <c r="DO19" s="219"/>
      <c r="DP19" s="237"/>
      <c r="DQ19" s="216"/>
      <c r="DR19" s="219"/>
      <c r="DS19" s="201"/>
      <c r="DT19" s="201"/>
      <c r="DU19" s="234"/>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28"/>
      <c r="FM19" s="219"/>
      <c r="FN19" s="216"/>
      <c r="FO19" s="216"/>
      <c r="FP19" s="216"/>
      <c r="FQ19" s="219"/>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1"/>
      <c r="GQ19" s="201"/>
      <c r="GR19" s="201"/>
      <c r="GS19" s="201"/>
      <c r="GT19" s="201"/>
      <c r="GU19" s="201"/>
      <c r="GV19" s="201"/>
      <c r="GW19" s="201"/>
      <c r="GX19" s="201"/>
      <c r="GY19" s="201"/>
      <c r="GZ19" s="201"/>
      <c r="HA19" s="201"/>
      <c r="HB19" s="228"/>
    </row>
    <row r="20" spans="1:210" ht="57" customHeight="1" thickBot="1">
      <c r="A20" s="65" t="s">
        <v>749</v>
      </c>
      <c r="B20" s="220"/>
      <c r="C20" s="178"/>
      <c r="D20" s="217"/>
      <c r="E20" s="178"/>
      <c r="F20" s="220"/>
      <c r="G20" s="178"/>
      <c r="H20" s="217"/>
      <c r="I20" s="217"/>
      <c r="J20" s="220"/>
      <c r="K20" s="178"/>
      <c r="L20" s="217"/>
      <c r="M20" s="178"/>
      <c r="N20" s="217"/>
      <c r="O20" s="220"/>
      <c r="P20" s="202"/>
      <c r="Q20" s="202"/>
      <c r="R20" s="17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26"/>
      <c r="DG20" s="229"/>
      <c r="DH20" s="217"/>
      <c r="DI20" s="220"/>
      <c r="DJ20" s="238"/>
      <c r="DK20" s="217"/>
      <c r="DL20" s="217"/>
      <c r="DM20" s="220"/>
      <c r="DN20" s="217"/>
      <c r="DO20" s="220"/>
      <c r="DP20" s="238"/>
      <c r="DQ20" s="217"/>
      <c r="DR20" s="220"/>
      <c r="DS20" s="202"/>
      <c r="DT20" s="202"/>
      <c r="DU20" s="235"/>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29"/>
      <c r="FM20" s="220"/>
      <c r="FN20" s="217"/>
      <c r="FO20" s="217"/>
      <c r="FP20" s="217"/>
      <c r="FQ20" s="220"/>
      <c r="FR20" s="202"/>
      <c r="FS20" s="202"/>
      <c r="FT20" s="202"/>
      <c r="FU20" s="202"/>
      <c r="FV20" s="202"/>
      <c r="FW20" s="202"/>
      <c r="FX20" s="202"/>
      <c r="FY20" s="202"/>
      <c r="FZ20" s="202"/>
      <c r="GA20" s="202"/>
      <c r="GB20" s="202"/>
      <c r="GC20" s="202"/>
      <c r="GD20" s="202"/>
      <c r="GE20" s="202"/>
      <c r="GF20" s="202"/>
      <c r="GG20" s="202"/>
      <c r="GH20" s="202"/>
      <c r="GI20" s="202"/>
      <c r="GJ20" s="202"/>
      <c r="GK20" s="202"/>
      <c r="GL20" s="202"/>
      <c r="GM20" s="202"/>
      <c r="GN20" s="202"/>
      <c r="GO20" s="202"/>
      <c r="GP20" s="202"/>
      <c r="GQ20" s="202"/>
      <c r="GR20" s="202"/>
      <c r="GS20" s="202"/>
      <c r="GT20" s="202"/>
      <c r="GU20" s="202"/>
      <c r="GV20" s="202"/>
      <c r="GW20" s="202"/>
      <c r="GX20" s="202"/>
      <c r="GY20" s="202"/>
      <c r="GZ20" s="202"/>
      <c r="HA20" s="202"/>
      <c r="HB20" s="229"/>
    </row>
    <row r="21" spans="1:210" ht="16" customHeight="1" thickTop="1">
      <c r="A21" s="59" t="s">
        <v>748</v>
      </c>
      <c r="B21" s="185">
        <v>1</v>
      </c>
      <c r="C21" s="167" t="s">
        <v>835</v>
      </c>
      <c r="D21" s="197">
        <v>1</v>
      </c>
      <c r="E21" s="167" t="s">
        <v>839</v>
      </c>
      <c r="F21" s="185">
        <v>1</v>
      </c>
      <c r="G21" s="167" t="s">
        <v>891</v>
      </c>
      <c r="H21" s="197">
        <v>1</v>
      </c>
      <c r="I21" s="197">
        <v>1</v>
      </c>
      <c r="J21" s="185">
        <v>1</v>
      </c>
      <c r="K21" s="167"/>
      <c r="L21" s="197">
        <v>1</v>
      </c>
      <c r="M21" s="167"/>
      <c r="N21" s="197">
        <v>1</v>
      </c>
      <c r="O21" s="185">
        <v>1</v>
      </c>
      <c r="P21" s="197">
        <v>0</v>
      </c>
      <c r="Q21" s="197">
        <v>1</v>
      </c>
      <c r="R21" s="170" t="s">
        <v>810</v>
      </c>
      <c r="S21" s="197">
        <v>1</v>
      </c>
      <c r="T21" s="197">
        <v>1</v>
      </c>
      <c r="U21" s="197">
        <v>1</v>
      </c>
      <c r="V21" s="197">
        <v>1</v>
      </c>
      <c r="W21" s="197">
        <v>1</v>
      </c>
      <c r="X21" s="197">
        <v>1</v>
      </c>
      <c r="Y21" s="197">
        <v>1</v>
      </c>
      <c r="Z21" s="197">
        <v>1</v>
      </c>
      <c r="AA21" s="197">
        <v>1</v>
      </c>
      <c r="AB21" s="197">
        <v>1</v>
      </c>
      <c r="AC21" s="197">
        <v>1</v>
      </c>
      <c r="AD21" s="197">
        <v>1</v>
      </c>
      <c r="AE21" s="197">
        <v>1</v>
      </c>
      <c r="AF21" s="197">
        <v>1</v>
      </c>
      <c r="AG21" s="197">
        <v>1</v>
      </c>
      <c r="AH21" s="197">
        <v>0</v>
      </c>
      <c r="AI21" s="197">
        <v>1</v>
      </c>
      <c r="AJ21" s="197">
        <v>1</v>
      </c>
      <c r="AK21" s="197">
        <v>1</v>
      </c>
      <c r="AL21" s="197">
        <v>1</v>
      </c>
      <c r="AM21" s="197">
        <v>1</v>
      </c>
      <c r="AN21" s="197">
        <v>1</v>
      </c>
      <c r="AO21" s="197">
        <v>1</v>
      </c>
      <c r="AP21" s="197">
        <v>1</v>
      </c>
      <c r="AQ21" s="197">
        <v>1</v>
      </c>
      <c r="AR21" s="197">
        <v>1</v>
      </c>
      <c r="AS21" s="197">
        <v>1</v>
      </c>
      <c r="AT21" s="197">
        <v>1</v>
      </c>
      <c r="AU21" s="197">
        <v>1</v>
      </c>
      <c r="AV21" s="197">
        <v>1</v>
      </c>
      <c r="AW21" s="197">
        <v>1</v>
      </c>
      <c r="AX21" s="197">
        <v>1</v>
      </c>
      <c r="AY21" s="197">
        <v>1</v>
      </c>
      <c r="AZ21" s="197">
        <v>1</v>
      </c>
      <c r="BA21" s="197">
        <v>1</v>
      </c>
      <c r="BB21" s="197">
        <v>1</v>
      </c>
      <c r="BC21" s="197">
        <v>1</v>
      </c>
      <c r="BD21" s="197">
        <v>1</v>
      </c>
      <c r="BE21" s="197">
        <v>1</v>
      </c>
      <c r="BF21" s="197">
        <v>1</v>
      </c>
      <c r="BG21" s="197">
        <v>1</v>
      </c>
      <c r="BH21" s="197">
        <v>1</v>
      </c>
      <c r="BI21" s="197">
        <v>1</v>
      </c>
      <c r="BJ21" s="197">
        <v>1</v>
      </c>
      <c r="BK21" s="197">
        <v>1</v>
      </c>
      <c r="BL21" s="197">
        <v>1</v>
      </c>
      <c r="BM21" s="197">
        <v>1</v>
      </c>
      <c r="BN21" s="197">
        <v>1</v>
      </c>
      <c r="BO21" s="197">
        <v>1</v>
      </c>
      <c r="BP21" s="197">
        <v>1</v>
      </c>
      <c r="BQ21" s="197">
        <v>1</v>
      </c>
      <c r="BR21" s="197">
        <v>1</v>
      </c>
      <c r="BS21" s="197">
        <v>1</v>
      </c>
      <c r="BT21" s="197">
        <v>1</v>
      </c>
      <c r="BU21" s="197">
        <v>1</v>
      </c>
      <c r="BV21" s="197">
        <v>1</v>
      </c>
      <c r="BW21" s="197">
        <v>0</v>
      </c>
      <c r="BX21" s="197">
        <v>1</v>
      </c>
      <c r="BY21" s="197">
        <v>1</v>
      </c>
      <c r="BZ21" s="197">
        <v>1</v>
      </c>
      <c r="CA21" s="197">
        <v>1</v>
      </c>
      <c r="CB21" s="197">
        <v>1</v>
      </c>
      <c r="CC21" s="197">
        <v>1</v>
      </c>
      <c r="CD21" s="197">
        <v>1</v>
      </c>
      <c r="CE21" s="197">
        <v>1</v>
      </c>
      <c r="CF21" s="197">
        <v>1</v>
      </c>
      <c r="CG21" s="197">
        <v>1</v>
      </c>
      <c r="CH21" s="197">
        <v>1</v>
      </c>
      <c r="CI21" s="197">
        <v>1</v>
      </c>
      <c r="CJ21" s="197">
        <v>1</v>
      </c>
      <c r="CK21" s="197">
        <v>1</v>
      </c>
      <c r="CL21" s="197">
        <v>1</v>
      </c>
      <c r="CM21" s="197">
        <v>1</v>
      </c>
      <c r="CN21" s="197">
        <v>1</v>
      </c>
      <c r="CO21" s="197">
        <v>1</v>
      </c>
      <c r="CP21" s="197">
        <v>1</v>
      </c>
      <c r="CQ21" s="197">
        <v>1</v>
      </c>
      <c r="CR21" s="197">
        <v>1</v>
      </c>
      <c r="CS21" s="197">
        <v>1</v>
      </c>
      <c r="CT21" s="197">
        <v>1</v>
      </c>
      <c r="CU21" s="197">
        <v>1</v>
      </c>
      <c r="CV21" s="197">
        <v>1</v>
      </c>
      <c r="CW21" s="197">
        <v>1</v>
      </c>
      <c r="CX21" s="197">
        <v>1</v>
      </c>
      <c r="CY21" s="197">
        <v>1</v>
      </c>
      <c r="CZ21" s="197">
        <v>1</v>
      </c>
      <c r="DA21" s="197">
        <v>1</v>
      </c>
      <c r="DB21" s="197">
        <v>1</v>
      </c>
      <c r="DC21" s="197">
        <v>1</v>
      </c>
      <c r="DD21" s="197">
        <v>1</v>
      </c>
      <c r="DE21" s="197">
        <v>1</v>
      </c>
      <c r="DF21" s="230">
        <v>1</v>
      </c>
      <c r="DG21" s="227">
        <f>+AVERAGE(B21:DF23)</f>
        <v>0.970873786407767</v>
      </c>
      <c r="DH21" s="197">
        <v>1</v>
      </c>
      <c r="DI21" s="185">
        <v>1</v>
      </c>
      <c r="DJ21" s="203" t="s">
        <v>891</v>
      </c>
      <c r="DK21" s="197">
        <v>1</v>
      </c>
      <c r="DL21" s="197">
        <v>1</v>
      </c>
      <c r="DM21" s="185">
        <v>1</v>
      </c>
      <c r="DN21" s="197">
        <v>1</v>
      </c>
      <c r="DO21" s="185">
        <v>1</v>
      </c>
      <c r="DP21" s="203"/>
      <c r="DQ21" s="197">
        <v>1</v>
      </c>
      <c r="DR21" s="185">
        <v>1</v>
      </c>
      <c r="DS21" s="197">
        <v>0</v>
      </c>
      <c r="DT21" s="197">
        <v>1</v>
      </c>
      <c r="DU21" s="233" t="s">
        <v>810</v>
      </c>
      <c r="DV21" s="197">
        <v>1</v>
      </c>
      <c r="DW21" s="197">
        <v>1</v>
      </c>
      <c r="DX21" s="197">
        <v>1</v>
      </c>
      <c r="DY21" s="197">
        <v>1</v>
      </c>
      <c r="DZ21" s="197">
        <v>1</v>
      </c>
      <c r="EA21" s="197">
        <v>1</v>
      </c>
      <c r="EB21" s="197">
        <v>1</v>
      </c>
      <c r="EC21" s="197">
        <v>1</v>
      </c>
      <c r="ED21" s="197">
        <v>1</v>
      </c>
      <c r="EE21" s="197">
        <v>1</v>
      </c>
      <c r="EF21" s="197">
        <v>1</v>
      </c>
      <c r="EG21" s="197">
        <v>1</v>
      </c>
      <c r="EH21" s="197">
        <v>1</v>
      </c>
      <c r="EI21" s="197">
        <v>1</v>
      </c>
      <c r="EJ21" s="197">
        <v>1</v>
      </c>
      <c r="EK21" s="197">
        <v>1</v>
      </c>
      <c r="EL21" s="197">
        <v>1</v>
      </c>
      <c r="EM21" s="197">
        <v>1</v>
      </c>
      <c r="EN21" s="197">
        <v>1</v>
      </c>
      <c r="EO21" s="197">
        <v>1</v>
      </c>
      <c r="EP21" s="197">
        <v>1</v>
      </c>
      <c r="EQ21" s="197">
        <v>1</v>
      </c>
      <c r="ER21" s="197">
        <v>0</v>
      </c>
      <c r="ES21" s="197">
        <v>1</v>
      </c>
      <c r="ET21" s="197">
        <v>1</v>
      </c>
      <c r="EU21" s="197">
        <v>1</v>
      </c>
      <c r="EV21" s="197">
        <v>1</v>
      </c>
      <c r="EW21" s="197">
        <v>1</v>
      </c>
      <c r="EX21" s="197">
        <v>1</v>
      </c>
      <c r="EY21" s="197">
        <v>1</v>
      </c>
      <c r="EZ21" s="197">
        <v>1</v>
      </c>
      <c r="FA21" s="197">
        <v>1</v>
      </c>
      <c r="FB21" s="197">
        <v>1</v>
      </c>
      <c r="FC21" s="197">
        <v>1</v>
      </c>
      <c r="FD21" s="197">
        <v>1</v>
      </c>
      <c r="FE21" s="197">
        <v>1</v>
      </c>
      <c r="FF21" s="197">
        <v>1</v>
      </c>
      <c r="FG21" s="197">
        <v>1</v>
      </c>
      <c r="FH21" s="197">
        <v>1</v>
      </c>
      <c r="FI21" s="197">
        <v>1</v>
      </c>
      <c r="FJ21" s="197">
        <v>1</v>
      </c>
      <c r="FK21" s="197">
        <v>1</v>
      </c>
      <c r="FL21" s="227">
        <f>+AVERAGE(DH21:FK23)</f>
        <v>0.96226415094339623</v>
      </c>
      <c r="FM21" s="185">
        <v>1</v>
      </c>
      <c r="FN21" s="197">
        <v>1</v>
      </c>
      <c r="FO21" s="197">
        <v>1</v>
      </c>
      <c r="FP21" s="197">
        <v>1</v>
      </c>
      <c r="FQ21" s="185">
        <v>1</v>
      </c>
      <c r="FR21" s="197">
        <v>1</v>
      </c>
      <c r="FS21" s="197">
        <v>1</v>
      </c>
      <c r="FT21" s="197">
        <v>1</v>
      </c>
      <c r="FU21" s="197">
        <v>1</v>
      </c>
      <c r="FV21" s="197">
        <v>1</v>
      </c>
      <c r="FW21" s="197">
        <v>1</v>
      </c>
      <c r="FX21" s="197">
        <v>1</v>
      </c>
      <c r="FY21" s="197">
        <v>1</v>
      </c>
      <c r="FZ21" s="197">
        <v>1</v>
      </c>
      <c r="GA21" s="197">
        <v>1</v>
      </c>
      <c r="GB21" s="197">
        <v>1</v>
      </c>
      <c r="GC21" s="197">
        <v>1</v>
      </c>
      <c r="GD21" s="197">
        <v>1</v>
      </c>
      <c r="GE21" s="197">
        <v>1</v>
      </c>
      <c r="GF21" s="197">
        <v>1</v>
      </c>
      <c r="GG21" s="197">
        <v>1</v>
      </c>
      <c r="GH21" s="197">
        <v>1</v>
      </c>
      <c r="GI21" s="197">
        <v>1</v>
      </c>
      <c r="GJ21" s="197">
        <v>1</v>
      </c>
      <c r="GK21" s="197">
        <v>0</v>
      </c>
      <c r="GL21" s="197">
        <v>1</v>
      </c>
      <c r="GM21" s="197">
        <v>1</v>
      </c>
      <c r="GN21" s="197">
        <v>1</v>
      </c>
      <c r="GO21" s="197">
        <v>1</v>
      </c>
      <c r="GP21" s="197">
        <v>1</v>
      </c>
      <c r="GQ21" s="197">
        <v>1</v>
      </c>
      <c r="GR21" s="197">
        <v>1</v>
      </c>
      <c r="GS21" s="197">
        <v>1</v>
      </c>
      <c r="GT21" s="197">
        <v>1</v>
      </c>
      <c r="GU21" s="197">
        <v>1</v>
      </c>
      <c r="GV21" s="197">
        <v>1</v>
      </c>
      <c r="GW21" s="197">
        <v>1</v>
      </c>
      <c r="GX21" s="197">
        <v>1</v>
      </c>
      <c r="GY21" s="197">
        <v>1</v>
      </c>
      <c r="GZ21" s="197">
        <v>1</v>
      </c>
      <c r="HA21" s="197">
        <v>1</v>
      </c>
      <c r="HB21" s="227">
        <f t="shared" ref="HB21" si="3">+AVERAGE(FM21:HA23)</f>
        <v>0.97560975609756095</v>
      </c>
    </row>
    <row r="22" spans="1:210" ht="15" customHeight="1">
      <c r="A22" s="60" t="s">
        <v>25</v>
      </c>
      <c r="B22" s="186"/>
      <c r="C22" s="168"/>
      <c r="D22" s="198"/>
      <c r="E22" s="168"/>
      <c r="F22" s="186"/>
      <c r="G22" s="168"/>
      <c r="H22" s="198"/>
      <c r="I22" s="198"/>
      <c r="J22" s="186"/>
      <c r="K22" s="168"/>
      <c r="L22" s="198"/>
      <c r="M22" s="168"/>
      <c r="N22" s="198"/>
      <c r="O22" s="186"/>
      <c r="P22" s="198"/>
      <c r="Q22" s="198"/>
      <c r="R22" s="171"/>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231"/>
      <c r="DG22" s="228"/>
      <c r="DH22" s="198"/>
      <c r="DI22" s="186"/>
      <c r="DJ22" s="204"/>
      <c r="DK22" s="198"/>
      <c r="DL22" s="198"/>
      <c r="DM22" s="186"/>
      <c r="DN22" s="198"/>
      <c r="DO22" s="186"/>
      <c r="DP22" s="204"/>
      <c r="DQ22" s="198"/>
      <c r="DR22" s="186"/>
      <c r="DS22" s="198"/>
      <c r="DT22" s="198"/>
      <c r="DU22" s="234"/>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228"/>
      <c r="FM22" s="186"/>
      <c r="FN22" s="198"/>
      <c r="FO22" s="198"/>
      <c r="FP22" s="198"/>
      <c r="FQ22" s="186"/>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228"/>
    </row>
    <row r="23" spans="1:210" ht="57" thickBot="1">
      <c r="A23" s="57" t="s">
        <v>747</v>
      </c>
      <c r="B23" s="187"/>
      <c r="C23" s="169"/>
      <c r="D23" s="199"/>
      <c r="E23" s="169"/>
      <c r="F23" s="187"/>
      <c r="G23" s="169"/>
      <c r="H23" s="199"/>
      <c r="I23" s="199"/>
      <c r="J23" s="187"/>
      <c r="K23" s="169"/>
      <c r="L23" s="199"/>
      <c r="M23" s="169"/>
      <c r="N23" s="199"/>
      <c r="O23" s="187"/>
      <c r="P23" s="199"/>
      <c r="Q23" s="199"/>
      <c r="R23" s="172"/>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232"/>
      <c r="DG23" s="229"/>
      <c r="DH23" s="199"/>
      <c r="DI23" s="187"/>
      <c r="DJ23" s="205"/>
      <c r="DK23" s="199"/>
      <c r="DL23" s="199"/>
      <c r="DM23" s="187"/>
      <c r="DN23" s="199"/>
      <c r="DO23" s="187"/>
      <c r="DP23" s="205"/>
      <c r="DQ23" s="199"/>
      <c r="DR23" s="187"/>
      <c r="DS23" s="199"/>
      <c r="DT23" s="199"/>
      <c r="DU23" s="235"/>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229"/>
      <c r="FM23" s="187"/>
      <c r="FN23" s="199"/>
      <c r="FO23" s="199"/>
      <c r="FP23" s="199"/>
      <c r="FQ23" s="187"/>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229"/>
    </row>
    <row r="24" spans="1:210" ht="16" customHeight="1" thickTop="1">
      <c r="A24" s="59" t="s">
        <v>746</v>
      </c>
      <c r="B24" s="185">
        <v>0</v>
      </c>
      <c r="C24" s="167" t="s">
        <v>836</v>
      </c>
      <c r="D24" s="197">
        <v>1</v>
      </c>
      <c r="E24" s="170"/>
      <c r="F24" s="185">
        <v>1</v>
      </c>
      <c r="G24" s="167"/>
      <c r="H24" s="197">
        <v>1</v>
      </c>
      <c r="I24" s="197">
        <v>0</v>
      </c>
      <c r="J24" s="185">
        <v>1</v>
      </c>
      <c r="K24" s="167"/>
      <c r="L24" s="197">
        <v>1</v>
      </c>
      <c r="M24" s="167"/>
      <c r="N24" s="197">
        <v>1</v>
      </c>
      <c r="O24" s="185">
        <v>1</v>
      </c>
      <c r="P24" s="197">
        <v>0</v>
      </c>
      <c r="Q24" s="197">
        <v>1</v>
      </c>
      <c r="R24" s="170" t="s">
        <v>811</v>
      </c>
      <c r="S24" s="197">
        <v>1</v>
      </c>
      <c r="T24" s="197">
        <v>1</v>
      </c>
      <c r="U24" s="197">
        <v>1</v>
      </c>
      <c r="V24" s="197">
        <v>1</v>
      </c>
      <c r="W24" s="197">
        <v>1</v>
      </c>
      <c r="X24" s="197">
        <v>1</v>
      </c>
      <c r="Y24" s="197">
        <v>1</v>
      </c>
      <c r="Z24" s="197">
        <v>1</v>
      </c>
      <c r="AA24" s="197">
        <v>1</v>
      </c>
      <c r="AB24" s="197">
        <v>1</v>
      </c>
      <c r="AC24" s="197">
        <v>1</v>
      </c>
      <c r="AD24" s="197">
        <v>1</v>
      </c>
      <c r="AE24" s="197">
        <v>1</v>
      </c>
      <c r="AF24" s="197">
        <v>1</v>
      </c>
      <c r="AG24" s="197">
        <v>1</v>
      </c>
      <c r="AH24" s="197">
        <v>0</v>
      </c>
      <c r="AI24" s="197">
        <v>1</v>
      </c>
      <c r="AJ24" s="197">
        <v>1</v>
      </c>
      <c r="AK24" s="197">
        <v>1</v>
      </c>
      <c r="AL24" s="197">
        <v>1</v>
      </c>
      <c r="AM24" s="197">
        <v>1</v>
      </c>
      <c r="AN24" s="197">
        <v>1</v>
      </c>
      <c r="AO24" s="197">
        <v>1</v>
      </c>
      <c r="AP24" s="197">
        <v>1</v>
      </c>
      <c r="AQ24" s="197">
        <v>1</v>
      </c>
      <c r="AR24" s="197">
        <v>1</v>
      </c>
      <c r="AS24" s="197">
        <v>1</v>
      </c>
      <c r="AT24" s="197">
        <v>1</v>
      </c>
      <c r="AU24" s="197">
        <v>1</v>
      </c>
      <c r="AV24" s="197">
        <v>1</v>
      </c>
      <c r="AW24" s="197">
        <v>1</v>
      </c>
      <c r="AX24" s="197">
        <v>1</v>
      </c>
      <c r="AY24" s="197">
        <v>1</v>
      </c>
      <c r="AZ24" s="197">
        <v>1</v>
      </c>
      <c r="BA24" s="197">
        <v>1</v>
      </c>
      <c r="BB24" s="197">
        <v>1</v>
      </c>
      <c r="BC24" s="197">
        <v>1</v>
      </c>
      <c r="BD24" s="197">
        <v>1</v>
      </c>
      <c r="BE24" s="197">
        <v>1</v>
      </c>
      <c r="BF24" s="197">
        <v>1</v>
      </c>
      <c r="BG24" s="197">
        <v>1</v>
      </c>
      <c r="BH24" s="197">
        <v>1</v>
      </c>
      <c r="BI24" s="197">
        <v>1</v>
      </c>
      <c r="BJ24" s="197">
        <v>1</v>
      </c>
      <c r="BK24" s="197">
        <v>1</v>
      </c>
      <c r="BL24" s="197">
        <v>1</v>
      </c>
      <c r="BM24" s="197">
        <v>1</v>
      </c>
      <c r="BN24" s="197">
        <v>1</v>
      </c>
      <c r="BO24" s="197">
        <v>1</v>
      </c>
      <c r="BP24" s="197">
        <v>1</v>
      </c>
      <c r="BQ24" s="197"/>
      <c r="BR24" s="197">
        <v>1</v>
      </c>
      <c r="BS24" s="197">
        <v>1</v>
      </c>
      <c r="BT24" s="197">
        <v>1</v>
      </c>
      <c r="BU24" s="197">
        <v>1</v>
      </c>
      <c r="BV24" s="197">
        <v>1</v>
      </c>
      <c r="BW24" s="197">
        <v>1</v>
      </c>
      <c r="BX24" s="197">
        <v>1</v>
      </c>
      <c r="BY24" s="197">
        <v>1</v>
      </c>
      <c r="BZ24" s="197">
        <v>1</v>
      </c>
      <c r="CA24" s="197">
        <v>1</v>
      </c>
      <c r="CB24" s="197">
        <v>1</v>
      </c>
      <c r="CC24" s="197">
        <v>1</v>
      </c>
      <c r="CD24" s="197">
        <v>1</v>
      </c>
      <c r="CE24" s="197">
        <v>1</v>
      </c>
      <c r="CF24" s="197">
        <v>1</v>
      </c>
      <c r="CG24" s="197">
        <v>1</v>
      </c>
      <c r="CH24" s="197">
        <v>1</v>
      </c>
      <c r="CI24" s="197">
        <v>1</v>
      </c>
      <c r="CJ24" s="197">
        <v>1</v>
      </c>
      <c r="CK24" s="197">
        <v>1</v>
      </c>
      <c r="CL24" s="197">
        <v>1</v>
      </c>
      <c r="CM24" s="197">
        <v>1</v>
      </c>
      <c r="CN24" s="197">
        <v>1</v>
      </c>
      <c r="CO24" s="197">
        <v>1</v>
      </c>
      <c r="CP24" s="197">
        <v>1</v>
      </c>
      <c r="CQ24" s="197">
        <v>1</v>
      </c>
      <c r="CR24" s="197">
        <v>1</v>
      </c>
      <c r="CS24" s="197">
        <v>1</v>
      </c>
      <c r="CT24" s="197">
        <v>1</v>
      </c>
      <c r="CU24" s="197">
        <v>1</v>
      </c>
      <c r="CV24" s="197">
        <v>1</v>
      </c>
      <c r="CW24" s="197">
        <v>1</v>
      </c>
      <c r="CX24" s="197">
        <v>1</v>
      </c>
      <c r="CY24" s="197">
        <v>1</v>
      </c>
      <c r="CZ24" s="197">
        <v>1</v>
      </c>
      <c r="DA24" s="197">
        <v>1</v>
      </c>
      <c r="DB24" s="197">
        <v>1</v>
      </c>
      <c r="DC24" s="197">
        <v>1</v>
      </c>
      <c r="DD24" s="197">
        <v>1</v>
      </c>
      <c r="DE24" s="197">
        <v>1</v>
      </c>
      <c r="DF24" s="230">
        <v>1</v>
      </c>
      <c r="DG24" s="227">
        <f>+AVERAGE(B24:DF26)</f>
        <v>0.96078431372549022</v>
      </c>
      <c r="DH24" s="197">
        <v>1</v>
      </c>
      <c r="DI24" s="185">
        <v>1</v>
      </c>
      <c r="DJ24" s="203"/>
      <c r="DK24" s="197">
        <v>1</v>
      </c>
      <c r="DL24" s="197">
        <v>0</v>
      </c>
      <c r="DM24" s="185">
        <v>1</v>
      </c>
      <c r="DN24" s="197">
        <v>1</v>
      </c>
      <c r="DO24" s="185">
        <v>1</v>
      </c>
      <c r="DP24" s="203"/>
      <c r="DQ24" s="197">
        <v>1</v>
      </c>
      <c r="DR24" s="185">
        <v>1</v>
      </c>
      <c r="DS24" s="197">
        <v>0</v>
      </c>
      <c r="DT24" s="197">
        <v>1</v>
      </c>
      <c r="DU24" s="233" t="s">
        <v>811</v>
      </c>
      <c r="DV24" s="197">
        <v>1</v>
      </c>
      <c r="DW24" s="197">
        <v>1</v>
      </c>
      <c r="DX24" s="197">
        <v>1</v>
      </c>
      <c r="DY24" s="197">
        <v>1</v>
      </c>
      <c r="DZ24" s="197">
        <v>1</v>
      </c>
      <c r="EA24" s="197">
        <v>1</v>
      </c>
      <c r="EB24" s="197">
        <v>1</v>
      </c>
      <c r="EC24" s="197">
        <v>1</v>
      </c>
      <c r="ED24" s="197">
        <v>1</v>
      </c>
      <c r="EE24" s="197">
        <v>1</v>
      </c>
      <c r="EF24" s="197">
        <v>1</v>
      </c>
      <c r="EG24" s="197">
        <v>1</v>
      </c>
      <c r="EH24" s="197">
        <v>1</v>
      </c>
      <c r="EI24" s="197">
        <v>1</v>
      </c>
      <c r="EJ24" s="197">
        <v>1</v>
      </c>
      <c r="EK24" s="197">
        <v>1</v>
      </c>
      <c r="EL24" s="197">
        <v>1</v>
      </c>
      <c r="EM24" s="197">
        <v>1</v>
      </c>
      <c r="EN24" s="197">
        <v>1</v>
      </c>
      <c r="EO24" s="197">
        <v>1</v>
      </c>
      <c r="EP24" s="197">
        <v>1</v>
      </c>
      <c r="EQ24" s="197">
        <v>1</v>
      </c>
      <c r="ER24" s="197">
        <v>1</v>
      </c>
      <c r="ES24" s="197">
        <v>1</v>
      </c>
      <c r="ET24" s="197">
        <v>1</v>
      </c>
      <c r="EU24" s="197">
        <v>1</v>
      </c>
      <c r="EV24" s="197">
        <v>1</v>
      </c>
      <c r="EW24" s="197">
        <v>1</v>
      </c>
      <c r="EX24" s="197">
        <v>1</v>
      </c>
      <c r="EY24" s="197">
        <v>1</v>
      </c>
      <c r="EZ24" s="197">
        <v>1</v>
      </c>
      <c r="FA24" s="197">
        <v>1</v>
      </c>
      <c r="FB24" s="197">
        <v>1</v>
      </c>
      <c r="FC24" s="197">
        <v>1</v>
      </c>
      <c r="FD24" s="197">
        <v>1</v>
      </c>
      <c r="FE24" s="197">
        <v>1</v>
      </c>
      <c r="FF24" s="197">
        <v>1</v>
      </c>
      <c r="FG24" s="197">
        <v>1</v>
      </c>
      <c r="FH24" s="197">
        <v>1</v>
      </c>
      <c r="FI24" s="197">
        <v>1</v>
      </c>
      <c r="FJ24" s="197">
        <v>1</v>
      </c>
      <c r="FK24" s="197">
        <v>1</v>
      </c>
      <c r="FL24" s="227">
        <f>+AVERAGE(DH24:FK26)</f>
        <v>0.96226415094339623</v>
      </c>
      <c r="FM24" s="185">
        <v>1</v>
      </c>
      <c r="FN24" s="197">
        <v>1</v>
      </c>
      <c r="FO24" s="197">
        <v>0</v>
      </c>
      <c r="FP24" s="197">
        <v>1</v>
      </c>
      <c r="FQ24" s="185">
        <v>1</v>
      </c>
      <c r="FR24" s="197">
        <v>1</v>
      </c>
      <c r="FS24" s="197">
        <v>1</v>
      </c>
      <c r="FT24" s="197">
        <v>1</v>
      </c>
      <c r="FU24" s="197">
        <v>1</v>
      </c>
      <c r="FV24" s="197">
        <v>1</v>
      </c>
      <c r="FW24" s="197">
        <v>1</v>
      </c>
      <c r="FX24" s="197">
        <v>1</v>
      </c>
      <c r="FY24" s="197">
        <v>1</v>
      </c>
      <c r="FZ24" s="197">
        <v>1</v>
      </c>
      <c r="GA24" s="197">
        <v>1</v>
      </c>
      <c r="GB24" s="197">
        <v>1</v>
      </c>
      <c r="GC24" s="197">
        <v>1</v>
      </c>
      <c r="GD24" s="197">
        <v>1</v>
      </c>
      <c r="GE24" s="197">
        <v>1</v>
      </c>
      <c r="GF24" s="197">
        <v>1</v>
      </c>
      <c r="GG24" s="197">
        <v>1</v>
      </c>
      <c r="GH24" s="197">
        <v>1</v>
      </c>
      <c r="GI24" s="197">
        <v>1</v>
      </c>
      <c r="GJ24" s="197">
        <v>1</v>
      </c>
      <c r="GK24" s="197">
        <v>1</v>
      </c>
      <c r="GL24" s="197">
        <v>1</v>
      </c>
      <c r="GM24" s="197">
        <v>1</v>
      </c>
      <c r="GN24" s="197">
        <v>1</v>
      </c>
      <c r="GO24" s="197">
        <v>1</v>
      </c>
      <c r="GP24" s="197">
        <v>1</v>
      </c>
      <c r="GQ24" s="197">
        <v>1</v>
      </c>
      <c r="GR24" s="197">
        <v>1</v>
      </c>
      <c r="GS24" s="197">
        <v>1</v>
      </c>
      <c r="GT24" s="197">
        <v>1</v>
      </c>
      <c r="GU24" s="197">
        <v>1</v>
      </c>
      <c r="GV24" s="197">
        <v>1</v>
      </c>
      <c r="GW24" s="197">
        <v>1</v>
      </c>
      <c r="GX24" s="197">
        <v>1</v>
      </c>
      <c r="GY24" s="197">
        <v>1</v>
      </c>
      <c r="GZ24" s="197">
        <v>1</v>
      </c>
      <c r="HA24" s="197">
        <v>1</v>
      </c>
      <c r="HB24" s="227">
        <f t="shared" ref="HB24" si="4">+AVERAGE(FM24:HA26)</f>
        <v>0.97560975609756095</v>
      </c>
    </row>
    <row r="25" spans="1:210" ht="15" customHeight="1">
      <c r="A25" s="58"/>
      <c r="B25" s="186"/>
      <c r="C25" s="168"/>
      <c r="D25" s="198"/>
      <c r="E25" s="171"/>
      <c r="F25" s="186"/>
      <c r="G25" s="168"/>
      <c r="H25" s="198"/>
      <c r="I25" s="198"/>
      <c r="J25" s="186"/>
      <c r="K25" s="168"/>
      <c r="L25" s="198"/>
      <c r="M25" s="168"/>
      <c r="N25" s="198"/>
      <c r="O25" s="186"/>
      <c r="P25" s="198"/>
      <c r="Q25" s="198"/>
      <c r="R25" s="171"/>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231"/>
      <c r="DG25" s="228"/>
      <c r="DH25" s="198"/>
      <c r="DI25" s="186"/>
      <c r="DJ25" s="204"/>
      <c r="DK25" s="198"/>
      <c r="DL25" s="198"/>
      <c r="DM25" s="186"/>
      <c r="DN25" s="198"/>
      <c r="DO25" s="186"/>
      <c r="DP25" s="204"/>
      <c r="DQ25" s="198"/>
      <c r="DR25" s="186"/>
      <c r="DS25" s="198"/>
      <c r="DT25" s="198"/>
      <c r="DU25" s="234"/>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228"/>
      <c r="FM25" s="186"/>
      <c r="FN25" s="198"/>
      <c r="FO25" s="198"/>
      <c r="FP25" s="198"/>
      <c r="FQ25" s="186"/>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228"/>
    </row>
    <row r="26" spans="1:210" ht="43" thickBot="1">
      <c r="A26" s="57" t="s">
        <v>745</v>
      </c>
      <c r="B26" s="187"/>
      <c r="C26" s="169"/>
      <c r="D26" s="199"/>
      <c r="E26" s="172"/>
      <c r="F26" s="187"/>
      <c r="G26" s="169"/>
      <c r="H26" s="199"/>
      <c r="I26" s="199"/>
      <c r="J26" s="187"/>
      <c r="K26" s="169"/>
      <c r="L26" s="199"/>
      <c r="M26" s="169"/>
      <c r="N26" s="199"/>
      <c r="O26" s="187"/>
      <c r="P26" s="199"/>
      <c r="Q26" s="199"/>
      <c r="R26" s="172"/>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232"/>
      <c r="DG26" s="229"/>
      <c r="DH26" s="199"/>
      <c r="DI26" s="187"/>
      <c r="DJ26" s="205"/>
      <c r="DK26" s="199"/>
      <c r="DL26" s="199"/>
      <c r="DM26" s="187"/>
      <c r="DN26" s="199"/>
      <c r="DO26" s="187"/>
      <c r="DP26" s="205"/>
      <c r="DQ26" s="199"/>
      <c r="DR26" s="187"/>
      <c r="DS26" s="199"/>
      <c r="DT26" s="199"/>
      <c r="DU26" s="235"/>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229"/>
      <c r="FM26" s="187"/>
      <c r="FN26" s="199"/>
      <c r="FO26" s="199"/>
      <c r="FP26" s="199"/>
      <c r="FQ26" s="187"/>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229"/>
    </row>
    <row r="27" spans="1:210" ht="16" customHeight="1" thickTop="1">
      <c r="A27" s="59" t="s">
        <v>744</v>
      </c>
      <c r="B27" s="185">
        <v>1</v>
      </c>
      <c r="C27" s="167" t="s">
        <v>837</v>
      </c>
      <c r="D27" s="197">
        <v>1</v>
      </c>
      <c r="E27" s="170"/>
      <c r="F27" s="185">
        <v>1</v>
      </c>
      <c r="G27" s="167"/>
      <c r="H27" s="197">
        <v>1</v>
      </c>
      <c r="I27" s="197">
        <v>1</v>
      </c>
      <c r="J27" s="185">
        <v>1</v>
      </c>
      <c r="K27" s="167"/>
      <c r="L27" s="197">
        <v>1</v>
      </c>
      <c r="M27" s="167"/>
      <c r="N27" s="197">
        <v>1</v>
      </c>
      <c r="O27" s="185">
        <v>1</v>
      </c>
      <c r="P27" s="197">
        <v>1</v>
      </c>
      <c r="Q27" s="197">
        <v>1</v>
      </c>
      <c r="R27" s="170" t="s">
        <v>812</v>
      </c>
      <c r="S27" s="197">
        <v>1</v>
      </c>
      <c r="T27" s="197">
        <v>1</v>
      </c>
      <c r="U27" s="197">
        <v>1</v>
      </c>
      <c r="V27" s="197">
        <v>1</v>
      </c>
      <c r="W27" s="197">
        <v>1</v>
      </c>
      <c r="X27" s="197">
        <v>1</v>
      </c>
      <c r="Y27" s="197">
        <v>1</v>
      </c>
      <c r="Z27" s="197">
        <v>1</v>
      </c>
      <c r="AA27" s="197">
        <v>1</v>
      </c>
      <c r="AB27" s="197">
        <v>1</v>
      </c>
      <c r="AC27" s="197">
        <v>1</v>
      </c>
      <c r="AD27" s="197">
        <v>1</v>
      </c>
      <c r="AE27" s="197">
        <v>1</v>
      </c>
      <c r="AF27" s="197">
        <v>1</v>
      </c>
      <c r="AG27" s="197">
        <v>1</v>
      </c>
      <c r="AH27" s="197">
        <v>1</v>
      </c>
      <c r="AI27" s="197">
        <v>1</v>
      </c>
      <c r="AJ27" s="197">
        <v>1</v>
      </c>
      <c r="AK27" s="197">
        <v>1</v>
      </c>
      <c r="AL27" s="197">
        <v>1</v>
      </c>
      <c r="AM27" s="197">
        <v>1</v>
      </c>
      <c r="AN27" s="197">
        <v>1</v>
      </c>
      <c r="AO27" s="197">
        <v>1</v>
      </c>
      <c r="AP27" s="197">
        <v>1</v>
      </c>
      <c r="AQ27" s="197">
        <v>1</v>
      </c>
      <c r="AR27" s="197">
        <v>1</v>
      </c>
      <c r="AS27" s="197">
        <v>1</v>
      </c>
      <c r="AT27" s="197">
        <v>1</v>
      </c>
      <c r="AU27" s="197">
        <v>1</v>
      </c>
      <c r="AV27" s="197">
        <v>1</v>
      </c>
      <c r="AW27" s="197">
        <v>1</v>
      </c>
      <c r="AX27" s="197">
        <v>1</v>
      </c>
      <c r="AY27" s="197">
        <v>1</v>
      </c>
      <c r="AZ27" s="197">
        <v>1</v>
      </c>
      <c r="BA27" s="197">
        <v>1</v>
      </c>
      <c r="BB27" s="197">
        <v>1</v>
      </c>
      <c r="BC27" s="197">
        <v>1</v>
      </c>
      <c r="BD27" s="197">
        <v>1</v>
      </c>
      <c r="BE27" s="197">
        <v>1</v>
      </c>
      <c r="BF27" s="197">
        <v>1</v>
      </c>
      <c r="BG27" s="197">
        <v>1</v>
      </c>
      <c r="BH27" s="197">
        <v>1</v>
      </c>
      <c r="BI27" s="197">
        <v>1</v>
      </c>
      <c r="BJ27" s="197">
        <v>1</v>
      </c>
      <c r="BK27" s="197">
        <v>1</v>
      </c>
      <c r="BL27" s="197">
        <v>1</v>
      </c>
      <c r="BM27" s="197">
        <v>1</v>
      </c>
      <c r="BN27" s="197">
        <v>1</v>
      </c>
      <c r="BO27" s="197">
        <v>1</v>
      </c>
      <c r="BP27" s="197">
        <v>1</v>
      </c>
      <c r="BQ27" s="197">
        <v>1</v>
      </c>
      <c r="BR27" s="197">
        <v>1</v>
      </c>
      <c r="BS27" s="197">
        <v>1</v>
      </c>
      <c r="BT27" s="197">
        <v>1</v>
      </c>
      <c r="BU27" s="197">
        <v>1</v>
      </c>
      <c r="BV27" s="197">
        <v>1</v>
      </c>
      <c r="BW27" s="197">
        <v>1</v>
      </c>
      <c r="BX27" s="197">
        <v>1</v>
      </c>
      <c r="BY27" s="197">
        <v>1</v>
      </c>
      <c r="BZ27" s="197">
        <v>1</v>
      </c>
      <c r="CA27" s="197">
        <v>1</v>
      </c>
      <c r="CB27" s="197">
        <v>1</v>
      </c>
      <c r="CC27" s="197">
        <v>1</v>
      </c>
      <c r="CD27" s="197">
        <v>1</v>
      </c>
      <c r="CE27" s="197">
        <v>1</v>
      </c>
      <c r="CF27" s="197">
        <v>1</v>
      </c>
      <c r="CG27" s="197">
        <v>1</v>
      </c>
      <c r="CH27" s="197">
        <v>1</v>
      </c>
      <c r="CI27" s="197">
        <v>1</v>
      </c>
      <c r="CJ27" s="197">
        <v>1</v>
      </c>
      <c r="CK27" s="197">
        <v>1</v>
      </c>
      <c r="CL27" s="197">
        <v>1</v>
      </c>
      <c r="CM27" s="197">
        <v>1</v>
      </c>
      <c r="CN27" s="197">
        <v>1</v>
      </c>
      <c r="CO27" s="197">
        <v>1</v>
      </c>
      <c r="CP27" s="197">
        <v>1</v>
      </c>
      <c r="CQ27" s="197">
        <v>1</v>
      </c>
      <c r="CR27" s="197">
        <v>1</v>
      </c>
      <c r="CS27" s="197">
        <v>1</v>
      </c>
      <c r="CT27" s="197">
        <v>1</v>
      </c>
      <c r="CU27" s="197">
        <v>1</v>
      </c>
      <c r="CV27" s="197">
        <v>1</v>
      </c>
      <c r="CW27" s="197">
        <v>1</v>
      </c>
      <c r="CX27" s="197">
        <v>1</v>
      </c>
      <c r="CY27" s="197">
        <v>1</v>
      </c>
      <c r="CZ27" s="197">
        <v>1</v>
      </c>
      <c r="DA27" s="197">
        <v>1</v>
      </c>
      <c r="DB27" s="197">
        <v>1</v>
      </c>
      <c r="DC27" s="197">
        <v>1</v>
      </c>
      <c r="DD27" s="197">
        <v>1</v>
      </c>
      <c r="DE27" s="197">
        <v>1</v>
      </c>
      <c r="DF27" s="230">
        <v>1</v>
      </c>
      <c r="DG27" s="227">
        <f>+AVERAGE(B27:DF29)</f>
        <v>1</v>
      </c>
      <c r="DH27" s="197">
        <v>1</v>
      </c>
      <c r="DI27" s="185">
        <v>1</v>
      </c>
      <c r="DJ27" s="203"/>
      <c r="DK27" s="197">
        <v>1</v>
      </c>
      <c r="DL27" s="197">
        <v>1</v>
      </c>
      <c r="DM27" s="185">
        <v>1</v>
      </c>
      <c r="DN27" s="197">
        <v>1</v>
      </c>
      <c r="DO27" s="185">
        <v>1</v>
      </c>
      <c r="DP27" s="203"/>
      <c r="DQ27" s="197">
        <v>1</v>
      </c>
      <c r="DR27" s="185">
        <v>1</v>
      </c>
      <c r="DS27" s="197">
        <v>1</v>
      </c>
      <c r="DT27" s="197">
        <v>1</v>
      </c>
      <c r="DU27" s="233" t="s">
        <v>812</v>
      </c>
      <c r="DV27" s="197">
        <v>1</v>
      </c>
      <c r="DW27" s="197">
        <v>1</v>
      </c>
      <c r="DX27" s="197">
        <v>1</v>
      </c>
      <c r="DY27" s="197">
        <v>1</v>
      </c>
      <c r="DZ27" s="197">
        <v>1</v>
      </c>
      <c r="EA27" s="197">
        <v>1</v>
      </c>
      <c r="EB27" s="197">
        <v>1</v>
      </c>
      <c r="EC27" s="197">
        <v>1</v>
      </c>
      <c r="ED27" s="197">
        <v>1</v>
      </c>
      <c r="EE27" s="197">
        <v>1</v>
      </c>
      <c r="EF27" s="197">
        <v>1</v>
      </c>
      <c r="EG27" s="197">
        <v>1</v>
      </c>
      <c r="EH27" s="197">
        <v>1</v>
      </c>
      <c r="EI27" s="197">
        <v>1</v>
      </c>
      <c r="EJ27" s="197">
        <v>1</v>
      </c>
      <c r="EK27" s="197">
        <v>1</v>
      </c>
      <c r="EL27" s="197">
        <v>1</v>
      </c>
      <c r="EM27" s="197">
        <v>1</v>
      </c>
      <c r="EN27" s="197">
        <v>1</v>
      </c>
      <c r="EO27" s="197">
        <v>1</v>
      </c>
      <c r="EP27" s="197">
        <v>1</v>
      </c>
      <c r="EQ27" s="197">
        <v>1</v>
      </c>
      <c r="ER27" s="197">
        <v>1</v>
      </c>
      <c r="ES27" s="197">
        <v>1</v>
      </c>
      <c r="ET27" s="197">
        <v>1</v>
      </c>
      <c r="EU27" s="197">
        <v>1</v>
      </c>
      <c r="EV27" s="197">
        <v>1</v>
      </c>
      <c r="EW27" s="197">
        <v>1</v>
      </c>
      <c r="EX27" s="197">
        <v>1</v>
      </c>
      <c r="EY27" s="197">
        <v>1</v>
      </c>
      <c r="EZ27" s="197">
        <v>1</v>
      </c>
      <c r="FA27" s="197">
        <v>1</v>
      </c>
      <c r="FB27" s="197">
        <v>1</v>
      </c>
      <c r="FC27" s="197">
        <v>1</v>
      </c>
      <c r="FD27" s="197">
        <v>1</v>
      </c>
      <c r="FE27" s="197">
        <v>1</v>
      </c>
      <c r="FF27" s="197">
        <v>1</v>
      </c>
      <c r="FG27" s="197">
        <v>1</v>
      </c>
      <c r="FH27" s="197">
        <v>1</v>
      </c>
      <c r="FI27" s="197">
        <v>1</v>
      </c>
      <c r="FJ27" s="197">
        <v>1</v>
      </c>
      <c r="FK27" s="197">
        <v>1</v>
      </c>
      <c r="FL27" s="227">
        <f>+AVERAGE(DH27:FK29)</f>
        <v>1</v>
      </c>
      <c r="FM27" s="185">
        <v>1</v>
      </c>
      <c r="FN27" s="197">
        <v>1</v>
      </c>
      <c r="FO27" s="197">
        <v>1</v>
      </c>
      <c r="FP27" s="197">
        <v>1</v>
      </c>
      <c r="FQ27" s="185">
        <v>1</v>
      </c>
      <c r="FR27" s="197">
        <v>1</v>
      </c>
      <c r="FS27" s="197">
        <v>1</v>
      </c>
      <c r="FT27" s="197">
        <v>1</v>
      </c>
      <c r="FU27" s="197">
        <v>1</v>
      </c>
      <c r="FV27" s="197">
        <v>1</v>
      </c>
      <c r="FW27" s="197">
        <v>1</v>
      </c>
      <c r="FX27" s="197">
        <v>1</v>
      </c>
      <c r="FY27" s="197">
        <v>1</v>
      </c>
      <c r="FZ27" s="197">
        <v>1</v>
      </c>
      <c r="GA27" s="197">
        <v>1</v>
      </c>
      <c r="GB27" s="197">
        <v>1</v>
      </c>
      <c r="GC27" s="197">
        <v>1</v>
      </c>
      <c r="GD27" s="197">
        <v>1</v>
      </c>
      <c r="GE27" s="197">
        <v>1</v>
      </c>
      <c r="GF27" s="197">
        <v>1</v>
      </c>
      <c r="GG27" s="197">
        <v>1</v>
      </c>
      <c r="GH27" s="197">
        <v>1</v>
      </c>
      <c r="GI27" s="197">
        <v>1</v>
      </c>
      <c r="GJ27" s="197">
        <v>1</v>
      </c>
      <c r="GK27" s="197">
        <v>1</v>
      </c>
      <c r="GL27" s="197">
        <v>1</v>
      </c>
      <c r="GM27" s="197">
        <v>1</v>
      </c>
      <c r="GN27" s="197">
        <v>1</v>
      </c>
      <c r="GO27" s="197">
        <v>1</v>
      </c>
      <c r="GP27" s="197">
        <v>1</v>
      </c>
      <c r="GQ27" s="197">
        <v>1</v>
      </c>
      <c r="GR27" s="197">
        <v>1</v>
      </c>
      <c r="GS27" s="197">
        <v>1</v>
      </c>
      <c r="GT27" s="197">
        <v>1</v>
      </c>
      <c r="GU27" s="197">
        <v>1</v>
      </c>
      <c r="GV27" s="197">
        <v>1</v>
      </c>
      <c r="GW27" s="197">
        <v>1</v>
      </c>
      <c r="GX27" s="197">
        <v>1</v>
      </c>
      <c r="GY27" s="197">
        <v>1</v>
      </c>
      <c r="GZ27" s="197">
        <v>1</v>
      </c>
      <c r="HA27" s="197">
        <v>1</v>
      </c>
      <c r="HB27" s="227">
        <f t="shared" ref="HB27" si="5">+AVERAGE(FM27:HA29)</f>
        <v>1</v>
      </c>
    </row>
    <row r="28" spans="1:210" ht="15" customHeight="1">
      <c r="A28" s="60"/>
      <c r="B28" s="186"/>
      <c r="C28" s="168"/>
      <c r="D28" s="198"/>
      <c r="E28" s="171"/>
      <c r="F28" s="186"/>
      <c r="G28" s="168"/>
      <c r="H28" s="198"/>
      <c r="I28" s="198"/>
      <c r="J28" s="186"/>
      <c r="K28" s="168"/>
      <c r="L28" s="198"/>
      <c r="M28" s="168"/>
      <c r="N28" s="198"/>
      <c r="O28" s="186"/>
      <c r="P28" s="198"/>
      <c r="Q28" s="198"/>
      <c r="R28" s="171"/>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231"/>
      <c r="DG28" s="228"/>
      <c r="DH28" s="198"/>
      <c r="DI28" s="186"/>
      <c r="DJ28" s="204"/>
      <c r="DK28" s="198"/>
      <c r="DL28" s="198"/>
      <c r="DM28" s="186"/>
      <c r="DN28" s="198"/>
      <c r="DO28" s="186"/>
      <c r="DP28" s="204"/>
      <c r="DQ28" s="198"/>
      <c r="DR28" s="186"/>
      <c r="DS28" s="198"/>
      <c r="DT28" s="198"/>
      <c r="DU28" s="234"/>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228"/>
      <c r="FM28" s="186"/>
      <c r="FN28" s="198"/>
      <c r="FO28" s="198"/>
      <c r="FP28" s="198"/>
      <c r="FQ28" s="186"/>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228"/>
    </row>
    <row r="29" spans="1:210" ht="141" customHeight="1" thickBot="1">
      <c r="A29" s="57" t="s">
        <v>743</v>
      </c>
      <c r="B29" s="187"/>
      <c r="C29" s="169"/>
      <c r="D29" s="199"/>
      <c r="E29" s="172"/>
      <c r="F29" s="187"/>
      <c r="G29" s="169"/>
      <c r="H29" s="199"/>
      <c r="I29" s="199"/>
      <c r="J29" s="187"/>
      <c r="K29" s="169"/>
      <c r="L29" s="199"/>
      <c r="M29" s="169"/>
      <c r="N29" s="199"/>
      <c r="O29" s="187"/>
      <c r="P29" s="199"/>
      <c r="Q29" s="199"/>
      <c r="R29" s="172"/>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232"/>
      <c r="DG29" s="229"/>
      <c r="DH29" s="199"/>
      <c r="DI29" s="187"/>
      <c r="DJ29" s="205"/>
      <c r="DK29" s="199"/>
      <c r="DL29" s="199"/>
      <c r="DM29" s="187"/>
      <c r="DN29" s="199"/>
      <c r="DO29" s="187"/>
      <c r="DP29" s="205"/>
      <c r="DQ29" s="199"/>
      <c r="DR29" s="187"/>
      <c r="DS29" s="199"/>
      <c r="DT29" s="199"/>
      <c r="DU29" s="235"/>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229"/>
      <c r="FM29" s="187"/>
      <c r="FN29" s="199"/>
      <c r="FO29" s="199"/>
      <c r="FP29" s="199"/>
      <c r="FQ29" s="187"/>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229"/>
    </row>
    <row r="30" spans="1:210" ht="16" customHeight="1" thickTop="1">
      <c r="A30" s="59" t="s">
        <v>742</v>
      </c>
      <c r="B30" s="209">
        <v>1</v>
      </c>
      <c r="C30" s="170"/>
      <c r="D30" s="197">
        <v>1</v>
      </c>
      <c r="E30" s="170"/>
      <c r="F30" s="209">
        <v>1</v>
      </c>
      <c r="G30" s="179"/>
      <c r="H30" s="197">
        <v>1</v>
      </c>
      <c r="I30" s="197">
        <v>1</v>
      </c>
      <c r="J30" s="209">
        <v>1</v>
      </c>
      <c r="K30" s="179"/>
      <c r="L30" s="197">
        <v>1</v>
      </c>
      <c r="M30" s="179"/>
      <c r="N30" s="197">
        <v>1</v>
      </c>
      <c r="O30" s="209">
        <v>1</v>
      </c>
      <c r="P30" s="197">
        <v>1</v>
      </c>
      <c r="Q30" s="197">
        <v>1</v>
      </c>
      <c r="R30" s="170" t="s">
        <v>813</v>
      </c>
      <c r="S30" s="197">
        <v>1</v>
      </c>
      <c r="T30" s="197">
        <v>1</v>
      </c>
      <c r="U30" s="197">
        <v>1</v>
      </c>
      <c r="V30" s="197">
        <v>1</v>
      </c>
      <c r="W30" s="197">
        <v>1</v>
      </c>
      <c r="X30" s="197">
        <v>1</v>
      </c>
      <c r="Y30" s="197">
        <v>1</v>
      </c>
      <c r="Z30" s="197">
        <v>1</v>
      </c>
      <c r="AA30" s="197">
        <v>1</v>
      </c>
      <c r="AB30" s="197">
        <v>1</v>
      </c>
      <c r="AC30" s="197">
        <v>1</v>
      </c>
      <c r="AD30" s="197">
        <v>1</v>
      </c>
      <c r="AE30" s="197">
        <v>1</v>
      </c>
      <c r="AF30" s="197">
        <v>1</v>
      </c>
      <c r="AG30" s="197">
        <v>1</v>
      </c>
      <c r="AH30" s="197">
        <v>0</v>
      </c>
      <c r="AI30" s="197">
        <v>1</v>
      </c>
      <c r="AJ30" s="197">
        <v>1</v>
      </c>
      <c r="AK30" s="197">
        <v>1</v>
      </c>
      <c r="AL30" s="197">
        <v>1</v>
      </c>
      <c r="AM30" s="197">
        <v>1</v>
      </c>
      <c r="AN30" s="197">
        <v>1</v>
      </c>
      <c r="AO30" s="197">
        <v>1</v>
      </c>
      <c r="AP30" s="197">
        <v>1</v>
      </c>
      <c r="AQ30" s="197">
        <v>1</v>
      </c>
      <c r="AR30" s="197">
        <v>1</v>
      </c>
      <c r="AS30" s="197">
        <v>1</v>
      </c>
      <c r="AT30" s="197">
        <v>1</v>
      </c>
      <c r="AU30" s="197">
        <v>1</v>
      </c>
      <c r="AV30" s="197">
        <v>1</v>
      </c>
      <c r="AW30" s="197">
        <v>1</v>
      </c>
      <c r="AX30" s="197">
        <v>1</v>
      </c>
      <c r="AY30" s="197">
        <v>1</v>
      </c>
      <c r="AZ30" s="197">
        <v>1</v>
      </c>
      <c r="BA30" s="197">
        <v>1</v>
      </c>
      <c r="BB30" s="197">
        <v>1</v>
      </c>
      <c r="BC30" s="197">
        <v>1</v>
      </c>
      <c r="BD30" s="197">
        <v>1</v>
      </c>
      <c r="BE30" s="197">
        <v>1</v>
      </c>
      <c r="BF30" s="197">
        <v>1</v>
      </c>
      <c r="BG30" s="197">
        <v>1</v>
      </c>
      <c r="BH30" s="197">
        <v>1</v>
      </c>
      <c r="BI30" s="197">
        <v>1</v>
      </c>
      <c r="BJ30" s="197">
        <v>1</v>
      </c>
      <c r="BK30" s="197">
        <v>1</v>
      </c>
      <c r="BL30" s="197">
        <v>1</v>
      </c>
      <c r="BM30" s="197">
        <v>1</v>
      </c>
      <c r="BN30" s="197">
        <v>1</v>
      </c>
      <c r="BO30" s="197">
        <v>1</v>
      </c>
      <c r="BP30" s="197">
        <v>1</v>
      </c>
      <c r="BQ30" s="197">
        <v>1</v>
      </c>
      <c r="BR30" s="197">
        <v>1</v>
      </c>
      <c r="BS30" s="197">
        <v>1</v>
      </c>
      <c r="BT30" s="197">
        <v>1</v>
      </c>
      <c r="BU30" s="197">
        <v>1</v>
      </c>
      <c r="BV30" s="197">
        <v>1</v>
      </c>
      <c r="BW30" s="197">
        <v>1</v>
      </c>
      <c r="BX30" s="197">
        <v>1</v>
      </c>
      <c r="BY30" s="197">
        <v>1</v>
      </c>
      <c r="BZ30" s="197">
        <v>1</v>
      </c>
      <c r="CA30" s="197">
        <v>1</v>
      </c>
      <c r="CB30" s="197">
        <v>1</v>
      </c>
      <c r="CC30" s="197">
        <v>1</v>
      </c>
      <c r="CD30" s="197">
        <v>1</v>
      </c>
      <c r="CE30" s="197">
        <v>1</v>
      </c>
      <c r="CF30" s="197">
        <v>1</v>
      </c>
      <c r="CG30" s="197">
        <v>1</v>
      </c>
      <c r="CH30" s="197">
        <v>1</v>
      </c>
      <c r="CI30" s="197">
        <v>1</v>
      </c>
      <c r="CJ30" s="197">
        <v>1</v>
      </c>
      <c r="CK30" s="197">
        <v>1</v>
      </c>
      <c r="CL30" s="197">
        <v>1</v>
      </c>
      <c r="CM30" s="197">
        <v>1</v>
      </c>
      <c r="CN30" s="197">
        <v>1</v>
      </c>
      <c r="CO30" s="197">
        <v>1</v>
      </c>
      <c r="CP30" s="197">
        <v>1</v>
      </c>
      <c r="CQ30" s="197">
        <v>1</v>
      </c>
      <c r="CR30" s="197">
        <v>1</v>
      </c>
      <c r="CS30" s="197">
        <v>1</v>
      </c>
      <c r="CT30" s="197">
        <v>1</v>
      </c>
      <c r="CU30" s="197">
        <v>1</v>
      </c>
      <c r="CV30" s="197">
        <v>1</v>
      </c>
      <c r="CW30" s="197">
        <v>1</v>
      </c>
      <c r="CX30" s="197">
        <v>1</v>
      </c>
      <c r="CY30" s="197">
        <v>1</v>
      </c>
      <c r="CZ30" s="197">
        <v>1</v>
      </c>
      <c r="DA30" s="197">
        <v>1</v>
      </c>
      <c r="DB30" s="197">
        <v>1</v>
      </c>
      <c r="DC30" s="197">
        <v>1</v>
      </c>
      <c r="DD30" s="197">
        <v>1</v>
      </c>
      <c r="DE30" s="197">
        <v>1</v>
      </c>
      <c r="DF30" s="230">
        <v>1</v>
      </c>
      <c r="DG30" s="227">
        <f>+AVERAGE(B30:DF32)</f>
        <v>0.99029126213592233</v>
      </c>
      <c r="DH30" s="197">
        <v>1</v>
      </c>
      <c r="DI30" s="209">
        <v>1</v>
      </c>
      <c r="DJ30" s="245"/>
      <c r="DK30" s="197">
        <v>1</v>
      </c>
      <c r="DL30" s="197">
        <v>1</v>
      </c>
      <c r="DM30" s="209">
        <v>1</v>
      </c>
      <c r="DN30" s="197">
        <v>1</v>
      </c>
      <c r="DO30" s="209">
        <v>1</v>
      </c>
      <c r="DP30" s="245"/>
      <c r="DQ30" s="197">
        <v>1</v>
      </c>
      <c r="DR30" s="209">
        <v>1</v>
      </c>
      <c r="DS30" s="197">
        <v>1</v>
      </c>
      <c r="DT30" s="197">
        <v>1</v>
      </c>
      <c r="DU30" s="233" t="s">
        <v>813</v>
      </c>
      <c r="DV30" s="197">
        <v>1</v>
      </c>
      <c r="DW30" s="197">
        <v>1</v>
      </c>
      <c r="DX30" s="197">
        <v>1</v>
      </c>
      <c r="DY30" s="197">
        <v>1</v>
      </c>
      <c r="DZ30" s="197">
        <v>1</v>
      </c>
      <c r="EA30" s="197">
        <v>1</v>
      </c>
      <c r="EB30" s="197">
        <v>1</v>
      </c>
      <c r="EC30" s="197">
        <v>1</v>
      </c>
      <c r="ED30" s="197">
        <v>1</v>
      </c>
      <c r="EE30" s="197">
        <v>1</v>
      </c>
      <c r="EF30" s="197">
        <v>1</v>
      </c>
      <c r="EG30" s="197">
        <v>1</v>
      </c>
      <c r="EH30" s="197">
        <v>1</v>
      </c>
      <c r="EI30" s="197">
        <v>1</v>
      </c>
      <c r="EJ30" s="197">
        <v>1</v>
      </c>
      <c r="EK30" s="197">
        <v>1</v>
      </c>
      <c r="EL30" s="197">
        <v>1</v>
      </c>
      <c r="EM30" s="197">
        <v>1</v>
      </c>
      <c r="EN30" s="197">
        <v>1</v>
      </c>
      <c r="EO30" s="197">
        <v>1</v>
      </c>
      <c r="EP30" s="197">
        <v>1</v>
      </c>
      <c r="EQ30" s="197">
        <v>1</v>
      </c>
      <c r="ER30" s="197">
        <v>1</v>
      </c>
      <c r="ES30" s="197">
        <v>1</v>
      </c>
      <c r="ET30" s="197">
        <v>1</v>
      </c>
      <c r="EU30" s="197">
        <v>1</v>
      </c>
      <c r="EV30" s="197">
        <v>1</v>
      </c>
      <c r="EW30" s="197">
        <v>1</v>
      </c>
      <c r="EX30" s="197">
        <v>1</v>
      </c>
      <c r="EY30" s="197">
        <v>1</v>
      </c>
      <c r="EZ30" s="197">
        <v>1</v>
      </c>
      <c r="FA30" s="197">
        <v>1</v>
      </c>
      <c r="FB30" s="197">
        <v>1</v>
      </c>
      <c r="FC30" s="197">
        <v>1</v>
      </c>
      <c r="FD30" s="197">
        <v>1</v>
      </c>
      <c r="FE30" s="197">
        <v>1</v>
      </c>
      <c r="FF30" s="197">
        <v>1</v>
      </c>
      <c r="FG30" s="197">
        <v>1</v>
      </c>
      <c r="FH30" s="197">
        <v>1</v>
      </c>
      <c r="FI30" s="197">
        <v>1</v>
      </c>
      <c r="FJ30" s="197">
        <v>1</v>
      </c>
      <c r="FK30" s="197">
        <v>1</v>
      </c>
      <c r="FL30" s="227">
        <f>+AVERAGE(DH30:FK32)</f>
        <v>1</v>
      </c>
      <c r="FM30" s="209">
        <v>1</v>
      </c>
      <c r="FN30" s="197">
        <v>1</v>
      </c>
      <c r="FO30" s="197">
        <v>1</v>
      </c>
      <c r="FP30" s="197">
        <v>1</v>
      </c>
      <c r="FQ30" s="209">
        <v>1</v>
      </c>
      <c r="FR30" s="197">
        <v>1</v>
      </c>
      <c r="FS30" s="197">
        <v>1</v>
      </c>
      <c r="FT30" s="197">
        <v>1</v>
      </c>
      <c r="FU30" s="197">
        <v>1</v>
      </c>
      <c r="FV30" s="197">
        <v>1</v>
      </c>
      <c r="FW30" s="197">
        <v>1</v>
      </c>
      <c r="FX30" s="197">
        <v>1</v>
      </c>
      <c r="FY30" s="197">
        <v>1</v>
      </c>
      <c r="FZ30" s="197">
        <v>1</v>
      </c>
      <c r="GA30" s="197">
        <v>1</v>
      </c>
      <c r="GB30" s="197">
        <v>1</v>
      </c>
      <c r="GC30" s="197">
        <v>1</v>
      </c>
      <c r="GD30" s="197">
        <v>1</v>
      </c>
      <c r="GE30" s="197">
        <v>1</v>
      </c>
      <c r="GF30" s="197">
        <v>1</v>
      </c>
      <c r="GG30" s="197">
        <v>1</v>
      </c>
      <c r="GH30" s="197">
        <v>1</v>
      </c>
      <c r="GI30" s="197">
        <v>1</v>
      </c>
      <c r="GJ30" s="197">
        <v>1</v>
      </c>
      <c r="GK30" s="197">
        <v>1</v>
      </c>
      <c r="GL30" s="197">
        <v>1</v>
      </c>
      <c r="GM30" s="197">
        <v>1</v>
      </c>
      <c r="GN30" s="197">
        <v>1</v>
      </c>
      <c r="GO30" s="197">
        <v>1</v>
      </c>
      <c r="GP30" s="197">
        <v>1</v>
      </c>
      <c r="GQ30" s="197">
        <v>1</v>
      </c>
      <c r="GR30" s="197">
        <v>1</v>
      </c>
      <c r="GS30" s="197">
        <v>1</v>
      </c>
      <c r="GT30" s="197">
        <v>1</v>
      </c>
      <c r="GU30" s="197">
        <v>1</v>
      </c>
      <c r="GV30" s="197">
        <v>1</v>
      </c>
      <c r="GW30" s="197">
        <v>1</v>
      </c>
      <c r="GX30" s="197">
        <v>1</v>
      </c>
      <c r="GY30" s="197">
        <v>1</v>
      </c>
      <c r="GZ30" s="197">
        <v>1</v>
      </c>
      <c r="HA30" s="197">
        <v>1</v>
      </c>
      <c r="HB30" s="227">
        <f t="shared" ref="HB30" si="6">+AVERAGE(FM30:HA32)</f>
        <v>1</v>
      </c>
    </row>
    <row r="31" spans="1:210" ht="15" customHeight="1">
      <c r="A31" s="60" t="s">
        <v>25</v>
      </c>
      <c r="B31" s="210"/>
      <c r="C31" s="171"/>
      <c r="D31" s="198"/>
      <c r="E31" s="171"/>
      <c r="F31" s="210"/>
      <c r="G31" s="180"/>
      <c r="H31" s="198"/>
      <c r="I31" s="198"/>
      <c r="J31" s="210"/>
      <c r="K31" s="180"/>
      <c r="L31" s="198"/>
      <c r="M31" s="180"/>
      <c r="N31" s="198"/>
      <c r="O31" s="210"/>
      <c r="P31" s="198"/>
      <c r="Q31" s="198"/>
      <c r="R31" s="171"/>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231"/>
      <c r="DG31" s="228"/>
      <c r="DH31" s="198"/>
      <c r="DI31" s="210"/>
      <c r="DJ31" s="246"/>
      <c r="DK31" s="198"/>
      <c r="DL31" s="198"/>
      <c r="DM31" s="210"/>
      <c r="DN31" s="198"/>
      <c r="DO31" s="210"/>
      <c r="DP31" s="246"/>
      <c r="DQ31" s="198"/>
      <c r="DR31" s="210"/>
      <c r="DS31" s="198"/>
      <c r="DT31" s="198"/>
      <c r="DU31" s="234"/>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228"/>
      <c r="FM31" s="210"/>
      <c r="FN31" s="198"/>
      <c r="FO31" s="198"/>
      <c r="FP31" s="198"/>
      <c r="FQ31" s="210"/>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228"/>
    </row>
    <row r="32" spans="1:210" ht="71" thickBot="1">
      <c r="A32" s="57" t="s">
        <v>741</v>
      </c>
      <c r="B32" s="211"/>
      <c r="C32" s="172"/>
      <c r="D32" s="199"/>
      <c r="E32" s="172"/>
      <c r="F32" s="211"/>
      <c r="G32" s="181"/>
      <c r="H32" s="199"/>
      <c r="I32" s="199"/>
      <c r="J32" s="211"/>
      <c r="K32" s="181"/>
      <c r="L32" s="199"/>
      <c r="M32" s="181"/>
      <c r="N32" s="199"/>
      <c r="O32" s="211"/>
      <c r="P32" s="199"/>
      <c r="Q32" s="199"/>
      <c r="R32" s="172"/>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232"/>
      <c r="DG32" s="229"/>
      <c r="DH32" s="199"/>
      <c r="DI32" s="211"/>
      <c r="DJ32" s="247"/>
      <c r="DK32" s="199"/>
      <c r="DL32" s="199"/>
      <c r="DM32" s="211"/>
      <c r="DN32" s="199"/>
      <c r="DO32" s="211"/>
      <c r="DP32" s="247"/>
      <c r="DQ32" s="199"/>
      <c r="DR32" s="211"/>
      <c r="DS32" s="199"/>
      <c r="DT32" s="199"/>
      <c r="DU32" s="235"/>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229"/>
      <c r="FM32" s="211"/>
      <c r="FN32" s="199"/>
      <c r="FO32" s="199"/>
      <c r="FP32" s="199"/>
      <c r="FQ32" s="211"/>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229"/>
    </row>
    <row r="33" spans="1:210" ht="25" customHeight="1" thickTop="1" thickBot="1">
      <c r="A33" s="80" t="s">
        <v>740</v>
      </c>
      <c r="B33" s="81"/>
      <c r="C33" s="76"/>
      <c r="D33" s="76"/>
      <c r="E33" s="76"/>
      <c r="F33" s="96"/>
      <c r="G33" s="97"/>
      <c r="H33" s="89"/>
      <c r="I33" s="89"/>
      <c r="J33" s="96"/>
      <c r="K33" s="97"/>
      <c r="L33" s="89"/>
      <c r="M33" s="97"/>
      <c r="N33" s="89"/>
      <c r="O33" s="96"/>
      <c r="P33" s="76"/>
      <c r="Q33" s="76"/>
      <c r="R33" s="76"/>
      <c r="S33" s="89"/>
      <c r="T33" s="89"/>
      <c r="U33" s="99"/>
      <c r="V33" s="89"/>
      <c r="W33" s="89"/>
      <c r="X33" s="89"/>
      <c r="Y33" s="99"/>
      <c r="Z33" s="89"/>
      <c r="AA33" s="89"/>
      <c r="AB33" s="89"/>
      <c r="AC33" s="89"/>
      <c r="AD33" s="89"/>
      <c r="AE33" s="89"/>
      <c r="AF33" s="89"/>
      <c r="AG33" s="89"/>
      <c r="AH33" s="89"/>
      <c r="AI33" s="89"/>
      <c r="AJ33" s="99"/>
      <c r="AK33" s="89"/>
      <c r="AL33" s="89"/>
      <c r="AM33" s="99"/>
      <c r="AN33" s="89"/>
      <c r="AO33" s="89"/>
      <c r="AP33" s="89"/>
      <c r="AQ33" s="89"/>
      <c r="AR33" s="99"/>
      <c r="AS33" s="89"/>
      <c r="AT33" s="89"/>
      <c r="AU33" s="89"/>
      <c r="AV33" s="89"/>
      <c r="AW33" s="89"/>
      <c r="AX33" s="89"/>
      <c r="AY33" s="99"/>
      <c r="AZ33" s="89"/>
      <c r="BA33" s="89"/>
      <c r="BB33" s="89"/>
      <c r="BC33" s="89"/>
      <c r="BD33" s="89"/>
      <c r="BE33" s="89"/>
      <c r="BF33" s="89"/>
      <c r="BG33" s="89"/>
      <c r="BH33" s="89"/>
      <c r="BI33" s="99"/>
      <c r="BJ33" s="89"/>
      <c r="BK33" s="89"/>
      <c r="BL33" s="89"/>
      <c r="BM33" s="89"/>
      <c r="BN33" s="89"/>
      <c r="BO33" s="89"/>
      <c r="BP33" s="89"/>
      <c r="BQ33" s="89"/>
      <c r="BR33" s="99"/>
      <c r="BS33" s="99"/>
      <c r="BT33" s="89"/>
      <c r="BU33" s="89"/>
      <c r="BV33" s="89"/>
      <c r="BW33" s="89"/>
      <c r="BX33" s="99"/>
      <c r="BY33" s="89"/>
      <c r="BZ33" s="89"/>
      <c r="CA33" s="89"/>
      <c r="CB33" s="99"/>
      <c r="CC33" s="89"/>
      <c r="CD33" s="89"/>
      <c r="CE33" s="89"/>
      <c r="CF33" s="89"/>
      <c r="CG33" s="99"/>
      <c r="CH33" s="89"/>
      <c r="CI33" s="89"/>
      <c r="CJ33" s="89"/>
      <c r="CK33" s="89"/>
      <c r="CL33" s="89"/>
      <c r="CM33" s="89"/>
      <c r="CN33" s="89"/>
      <c r="CO33" s="89"/>
      <c r="CP33" s="89"/>
      <c r="CQ33" s="89"/>
      <c r="CR33" s="99"/>
      <c r="CS33" s="89"/>
      <c r="CT33" s="89"/>
      <c r="CU33" s="89"/>
      <c r="CV33" s="89"/>
      <c r="CW33" s="99"/>
      <c r="CX33" s="99"/>
      <c r="CY33" s="89"/>
      <c r="CZ33" s="89"/>
      <c r="DA33" s="89"/>
      <c r="DB33" s="89"/>
      <c r="DC33" s="89"/>
      <c r="DD33" s="89"/>
      <c r="DE33" s="89"/>
      <c r="DF33" s="89"/>
      <c r="DG33" s="105">
        <f>+AVERAGE(DG34:DG54)</f>
        <v>0.5714285714285714</v>
      </c>
      <c r="DH33" s="89"/>
      <c r="DI33" s="96"/>
      <c r="DJ33" s="112"/>
      <c r="DK33" s="89"/>
      <c r="DL33" s="89"/>
      <c r="DM33" s="96"/>
      <c r="DN33" s="89"/>
      <c r="DO33" s="96"/>
      <c r="DP33" s="112"/>
      <c r="DQ33" s="89"/>
      <c r="DR33" s="96"/>
      <c r="DS33" s="76"/>
      <c r="DT33" s="89"/>
      <c r="DU33" s="89"/>
      <c r="DV33" s="99"/>
      <c r="DW33" s="89"/>
      <c r="DX33" s="89"/>
      <c r="DY33" s="99"/>
      <c r="DZ33" s="89"/>
      <c r="EA33" s="99"/>
      <c r="EB33" s="99"/>
      <c r="EC33" s="89"/>
      <c r="ED33" s="99"/>
      <c r="EE33" s="89"/>
      <c r="EF33" s="89"/>
      <c r="EG33" s="89"/>
      <c r="EH33" s="89"/>
      <c r="EI33" s="89"/>
      <c r="EJ33" s="89"/>
      <c r="EK33" s="89"/>
      <c r="EL33" s="89"/>
      <c r="EM33" s="89"/>
      <c r="EN33" s="89"/>
      <c r="EO33" s="89"/>
      <c r="EP33" s="89"/>
      <c r="EQ33" s="89"/>
      <c r="ER33" s="89"/>
      <c r="ES33" s="89"/>
      <c r="ET33" s="89"/>
      <c r="EU33" s="89"/>
      <c r="EV33" s="89"/>
      <c r="EW33" s="89"/>
      <c r="EX33" s="99"/>
      <c r="EY33" s="89"/>
      <c r="EZ33" s="99"/>
      <c r="FA33" s="89"/>
      <c r="FB33" s="89"/>
      <c r="FC33" s="89"/>
      <c r="FD33" s="99"/>
      <c r="FE33" s="89"/>
      <c r="FF33" s="89"/>
      <c r="FG33" s="89"/>
      <c r="FH33" s="89"/>
      <c r="FI33" s="89"/>
      <c r="FJ33" s="89"/>
      <c r="FK33" s="89"/>
      <c r="FL33" s="105">
        <f>+AVERAGE(FL34:FL54)</f>
        <v>0.57412398921832886</v>
      </c>
      <c r="FM33" s="96"/>
      <c r="FN33" s="89"/>
      <c r="FO33" s="89"/>
      <c r="FP33" s="89"/>
      <c r="FQ33" s="96"/>
      <c r="FR33" s="89"/>
      <c r="FS33" s="89"/>
      <c r="FT33" s="99"/>
      <c r="FU33" s="99"/>
      <c r="FV33" s="89"/>
      <c r="FW33" s="89"/>
      <c r="FX33" s="99"/>
      <c r="FY33" s="99"/>
      <c r="FZ33" s="89"/>
      <c r="GA33" s="89"/>
      <c r="GB33" s="99"/>
      <c r="GC33" s="89"/>
      <c r="GD33" s="89"/>
      <c r="GE33" s="89"/>
      <c r="GF33" s="89"/>
      <c r="GG33" s="89"/>
      <c r="GH33" s="89"/>
      <c r="GI33" s="89"/>
      <c r="GJ33" s="89"/>
      <c r="GK33" s="89"/>
      <c r="GL33" s="89"/>
      <c r="GM33" s="89"/>
      <c r="GN33" s="89"/>
      <c r="GO33" s="89"/>
      <c r="GP33" s="89"/>
      <c r="GQ33" s="99"/>
      <c r="GR33" s="89"/>
      <c r="GS33" s="89"/>
      <c r="GT33" s="89"/>
      <c r="GU33" s="99"/>
      <c r="GV33" s="89"/>
      <c r="GW33" s="99"/>
      <c r="GX33" s="89"/>
      <c r="GY33" s="89"/>
      <c r="GZ33" s="89"/>
      <c r="HA33" s="89"/>
      <c r="HB33" s="105">
        <f>+AVERAGE(HB34:HB54)</f>
        <v>0.5714285714285714</v>
      </c>
    </row>
    <row r="34" spans="1:210" ht="16" customHeight="1" thickTop="1">
      <c r="A34" s="59" t="s">
        <v>739</v>
      </c>
      <c r="B34" s="221">
        <v>1</v>
      </c>
      <c r="C34" s="191"/>
      <c r="D34" s="212">
        <v>1</v>
      </c>
      <c r="E34" s="191"/>
      <c r="F34" s="185">
        <v>1</v>
      </c>
      <c r="G34" s="182"/>
      <c r="H34" s="200">
        <v>1</v>
      </c>
      <c r="I34" s="200">
        <v>1</v>
      </c>
      <c r="J34" s="185">
        <v>1</v>
      </c>
      <c r="K34" s="182"/>
      <c r="L34" s="200">
        <v>1</v>
      </c>
      <c r="M34" s="182"/>
      <c r="N34" s="200">
        <v>1</v>
      </c>
      <c r="O34" s="185">
        <v>1</v>
      </c>
      <c r="P34" s="200">
        <v>1</v>
      </c>
      <c r="Q34" s="200">
        <v>1</v>
      </c>
      <c r="R34" s="170"/>
      <c r="S34" s="200">
        <v>1</v>
      </c>
      <c r="T34" s="200">
        <v>1</v>
      </c>
      <c r="U34" s="200">
        <v>1</v>
      </c>
      <c r="V34" s="200">
        <v>1</v>
      </c>
      <c r="W34" s="200">
        <v>1</v>
      </c>
      <c r="X34" s="200">
        <v>1</v>
      </c>
      <c r="Y34" s="200">
        <v>1</v>
      </c>
      <c r="Z34" s="200">
        <v>1</v>
      </c>
      <c r="AA34" s="200">
        <v>1</v>
      </c>
      <c r="AB34" s="200">
        <v>1</v>
      </c>
      <c r="AC34" s="200">
        <v>1</v>
      </c>
      <c r="AD34" s="200">
        <v>1</v>
      </c>
      <c r="AE34" s="200">
        <v>1</v>
      </c>
      <c r="AF34" s="200">
        <v>1</v>
      </c>
      <c r="AG34" s="200">
        <v>1</v>
      </c>
      <c r="AH34" s="200">
        <v>1</v>
      </c>
      <c r="AI34" s="200">
        <v>1</v>
      </c>
      <c r="AJ34" s="200">
        <v>1</v>
      </c>
      <c r="AK34" s="200">
        <v>1</v>
      </c>
      <c r="AL34" s="200">
        <v>1</v>
      </c>
      <c r="AM34" s="200">
        <v>1</v>
      </c>
      <c r="AN34" s="200">
        <v>1</v>
      </c>
      <c r="AO34" s="200">
        <v>1</v>
      </c>
      <c r="AP34" s="200">
        <v>1</v>
      </c>
      <c r="AQ34" s="200">
        <v>1</v>
      </c>
      <c r="AR34" s="200">
        <v>1</v>
      </c>
      <c r="AS34" s="200">
        <v>1</v>
      </c>
      <c r="AT34" s="200">
        <v>1</v>
      </c>
      <c r="AU34" s="200">
        <v>1</v>
      </c>
      <c r="AV34" s="200">
        <v>1</v>
      </c>
      <c r="AW34" s="200">
        <v>1</v>
      </c>
      <c r="AX34" s="200">
        <v>1</v>
      </c>
      <c r="AY34" s="200">
        <v>1</v>
      </c>
      <c r="AZ34" s="200">
        <v>1</v>
      </c>
      <c r="BA34" s="200">
        <v>1</v>
      </c>
      <c r="BB34" s="200">
        <v>1</v>
      </c>
      <c r="BC34" s="200">
        <v>1</v>
      </c>
      <c r="BD34" s="200">
        <v>1</v>
      </c>
      <c r="BE34" s="200">
        <v>1</v>
      </c>
      <c r="BF34" s="200">
        <v>1</v>
      </c>
      <c r="BG34" s="200">
        <v>1</v>
      </c>
      <c r="BH34" s="200">
        <v>1</v>
      </c>
      <c r="BI34" s="200">
        <v>1</v>
      </c>
      <c r="BJ34" s="200">
        <v>1</v>
      </c>
      <c r="BK34" s="200">
        <v>1</v>
      </c>
      <c r="BL34" s="200">
        <v>1</v>
      </c>
      <c r="BM34" s="200">
        <v>1</v>
      </c>
      <c r="BN34" s="200">
        <v>1</v>
      </c>
      <c r="BO34" s="200">
        <v>1</v>
      </c>
      <c r="BP34" s="200">
        <v>1</v>
      </c>
      <c r="BQ34" s="200">
        <v>1</v>
      </c>
      <c r="BR34" s="200">
        <v>1</v>
      </c>
      <c r="BS34" s="200">
        <v>1</v>
      </c>
      <c r="BT34" s="200">
        <v>1</v>
      </c>
      <c r="BU34" s="200">
        <v>1</v>
      </c>
      <c r="BV34" s="200">
        <v>1</v>
      </c>
      <c r="BW34" s="200">
        <v>1</v>
      </c>
      <c r="BX34" s="200">
        <v>1</v>
      </c>
      <c r="BY34" s="200">
        <v>1</v>
      </c>
      <c r="BZ34" s="200">
        <v>1</v>
      </c>
      <c r="CA34" s="200">
        <v>1</v>
      </c>
      <c r="CB34" s="200">
        <v>1</v>
      </c>
      <c r="CC34" s="200">
        <v>1</v>
      </c>
      <c r="CD34" s="200">
        <v>1</v>
      </c>
      <c r="CE34" s="200">
        <v>1</v>
      </c>
      <c r="CF34" s="200">
        <v>1</v>
      </c>
      <c r="CG34" s="200">
        <v>1</v>
      </c>
      <c r="CH34" s="200">
        <v>1</v>
      </c>
      <c r="CI34" s="200">
        <v>1</v>
      </c>
      <c r="CJ34" s="200">
        <v>1</v>
      </c>
      <c r="CK34" s="200">
        <v>1</v>
      </c>
      <c r="CL34" s="200">
        <v>1</v>
      </c>
      <c r="CM34" s="200">
        <v>1</v>
      </c>
      <c r="CN34" s="200">
        <v>1</v>
      </c>
      <c r="CO34" s="200">
        <v>1</v>
      </c>
      <c r="CP34" s="200">
        <v>1</v>
      </c>
      <c r="CQ34" s="200">
        <v>1</v>
      </c>
      <c r="CR34" s="200">
        <v>1</v>
      </c>
      <c r="CS34" s="200">
        <v>1</v>
      </c>
      <c r="CT34" s="200">
        <v>1</v>
      </c>
      <c r="CU34" s="200">
        <v>1</v>
      </c>
      <c r="CV34" s="200">
        <v>1</v>
      </c>
      <c r="CW34" s="200">
        <v>1</v>
      </c>
      <c r="CX34" s="200">
        <v>1</v>
      </c>
      <c r="CY34" s="200">
        <v>1</v>
      </c>
      <c r="CZ34" s="200">
        <v>1</v>
      </c>
      <c r="DA34" s="200">
        <v>1</v>
      </c>
      <c r="DB34" s="200">
        <v>1</v>
      </c>
      <c r="DC34" s="200">
        <v>1</v>
      </c>
      <c r="DD34" s="200">
        <v>1</v>
      </c>
      <c r="DE34" s="200">
        <v>1</v>
      </c>
      <c r="DF34" s="224">
        <v>1</v>
      </c>
      <c r="DG34" s="227">
        <f>+AVERAGE(B34:DF36)</f>
        <v>1</v>
      </c>
      <c r="DH34" s="212">
        <v>1</v>
      </c>
      <c r="DI34" s="185">
        <v>1</v>
      </c>
      <c r="DJ34" s="239"/>
      <c r="DK34" s="200">
        <v>1</v>
      </c>
      <c r="DL34" s="200">
        <v>1</v>
      </c>
      <c r="DM34" s="185">
        <v>1</v>
      </c>
      <c r="DN34" s="200">
        <v>1</v>
      </c>
      <c r="DO34" s="185">
        <v>1</v>
      </c>
      <c r="DP34" s="239"/>
      <c r="DQ34" s="200">
        <v>1</v>
      </c>
      <c r="DR34" s="185">
        <v>1</v>
      </c>
      <c r="DS34" s="200">
        <v>1</v>
      </c>
      <c r="DT34" s="200">
        <v>1</v>
      </c>
      <c r="DU34" s="233"/>
      <c r="DV34" s="200">
        <v>1</v>
      </c>
      <c r="DW34" s="200">
        <v>1</v>
      </c>
      <c r="DX34" s="200">
        <v>1</v>
      </c>
      <c r="DY34" s="200">
        <v>1</v>
      </c>
      <c r="DZ34" s="200">
        <v>1</v>
      </c>
      <c r="EA34" s="200">
        <v>1</v>
      </c>
      <c r="EB34" s="200">
        <v>1</v>
      </c>
      <c r="EC34" s="200">
        <v>1</v>
      </c>
      <c r="ED34" s="200">
        <v>1</v>
      </c>
      <c r="EE34" s="200">
        <v>1</v>
      </c>
      <c r="EF34" s="200">
        <v>1</v>
      </c>
      <c r="EG34" s="200">
        <v>1</v>
      </c>
      <c r="EH34" s="200">
        <v>1</v>
      </c>
      <c r="EI34" s="200">
        <v>1</v>
      </c>
      <c r="EJ34" s="200">
        <v>1</v>
      </c>
      <c r="EK34" s="200">
        <v>1</v>
      </c>
      <c r="EL34" s="200">
        <v>1</v>
      </c>
      <c r="EM34" s="200">
        <v>1</v>
      </c>
      <c r="EN34" s="200">
        <v>1</v>
      </c>
      <c r="EO34" s="200">
        <v>1</v>
      </c>
      <c r="EP34" s="200">
        <v>1</v>
      </c>
      <c r="EQ34" s="200">
        <v>1</v>
      </c>
      <c r="ER34" s="200">
        <v>1</v>
      </c>
      <c r="ES34" s="200">
        <v>1</v>
      </c>
      <c r="ET34" s="200">
        <v>1</v>
      </c>
      <c r="EU34" s="200">
        <v>1</v>
      </c>
      <c r="EV34" s="200">
        <v>1</v>
      </c>
      <c r="EW34" s="200">
        <v>1</v>
      </c>
      <c r="EX34" s="200">
        <v>1</v>
      </c>
      <c r="EY34" s="200">
        <v>1</v>
      </c>
      <c r="EZ34" s="200">
        <v>1</v>
      </c>
      <c r="FA34" s="200">
        <v>1</v>
      </c>
      <c r="FB34" s="200">
        <v>1</v>
      </c>
      <c r="FC34" s="200">
        <v>1</v>
      </c>
      <c r="FD34" s="200">
        <v>1</v>
      </c>
      <c r="FE34" s="200">
        <v>1</v>
      </c>
      <c r="FF34" s="200">
        <v>1</v>
      </c>
      <c r="FG34" s="200">
        <v>1</v>
      </c>
      <c r="FH34" s="200">
        <v>1</v>
      </c>
      <c r="FI34" s="200">
        <v>1</v>
      </c>
      <c r="FJ34" s="200">
        <v>1</v>
      </c>
      <c r="FK34" s="200">
        <v>1</v>
      </c>
      <c r="FL34" s="227">
        <f>+AVERAGE(DH34:FK36)</f>
        <v>1</v>
      </c>
      <c r="FM34" s="185">
        <v>1</v>
      </c>
      <c r="FN34" s="200">
        <v>1</v>
      </c>
      <c r="FO34" s="200">
        <v>1</v>
      </c>
      <c r="FP34" s="200">
        <v>1</v>
      </c>
      <c r="FQ34" s="185">
        <v>1</v>
      </c>
      <c r="FR34" s="200">
        <v>1</v>
      </c>
      <c r="FS34" s="200">
        <v>1</v>
      </c>
      <c r="FT34" s="200">
        <v>1</v>
      </c>
      <c r="FU34" s="200">
        <v>1</v>
      </c>
      <c r="FV34" s="200">
        <v>1</v>
      </c>
      <c r="FW34" s="200">
        <v>1</v>
      </c>
      <c r="FX34" s="200">
        <v>1</v>
      </c>
      <c r="FY34" s="200">
        <v>1</v>
      </c>
      <c r="FZ34" s="200">
        <v>1</v>
      </c>
      <c r="GA34" s="200">
        <v>1</v>
      </c>
      <c r="GB34" s="200">
        <v>1</v>
      </c>
      <c r="GC34" s="200">
        <v>1</v>
      </c>
      <c r="GD34" s="200">
        <v>1</v>
      </c>
      <c r="GE34" s="200">
        <v>1</v>
      </c>
      <c r="GF34" s="200">
        <v>1</v>
      </c>
      <c r="GG34" s="200">
        <v>1</v>
      </c>
      <c r="GH34" s="200">
        <v>1</v>
      </c>
      <c r="GI34" s="200">
        <v>1</v>
      </c>
      <c r="GJ34" s="200">
        <v>1</v>
      </c>
      <c r="GK34" s="200">
        <v>1</v>
      </c>
      <c r="GL34" s="200">
        <v>1</v>
      </c>
      <c r="GM34" s="200">
        <v>1</v>
      </c>
      <c r="GN34" s="200">
        <v>1</v>
      </c>
      <c r="GO34" s="200">
        <v>1</v>
      </c>
      <c r="GP34" s="200">
        <v>1</v>
      </c>
      <c r="GQ34" s="200">
        <v>1</v>
      </c>
      <c r="GR34" s="200">
        <v>1</v>
      </c>
      <c r="GS34" s="200">
        <v>1</v>
      </c>
      <c r="GT34" s="200">
        <v>1</v>
      </c>
      <c r="GU34" s="200">
        <v>1</v>
      </c>
      <c r="GV34" s="200">
        <v>1</v>
      </c>
      <c r="GW34" s="200">
        <v>1</v>
      </c>
      <c r="GX34" s="200">
        <v>1</v>
      </c>
      <c r="GY34" s="200">
        <v>1</v>
      </c>
      <c r="GZ34" s="200">
        <v>1</v>
      </c>
      <c r="HA34" s="200">
        <v>1</v>
      </c>
      <c r="HB34" s="227">
        <f>+AVERAGE(FM34:HA36)</f>
        <v>1</v>
      </c>
    </row>
    <row r="35" spans="1:210" ht="15" customHeight="1">
      <c r="A35" s="60"/>
      <c r="B35" s="222"/>
      <c r="C35" s="192"/>
      <c r="D35" s="213"/>
      <c r="E35" s="192"/>
      <c r="F35" s="186"/>
      <c r="G35" s="183"/>
      <c r="H35" s="201"/>
      <c r="I35" s="201"/>
      <c r="J35" s="186"/>
      <c r="K35" s="183"/>
      <c r="L35" s="201"/>
      <c r="M35" s="183"/>
      <c r="N35" s="201"/>
      <c r="O35" s="186"/>
      <c r="P35" s="201"/>
      <c r="Q35" s="201"/>
      <c r="R35" s="17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25"/>
      <c r="DG35" s="228"/>
      <c r="DH35" s="213"/>
      <c r="DI35" s="186"/>
      <c r="DJ35" s="240"/>
      <c r="DK35" s="201"/>
      <c r="DL35" s="201"/>
      <c r="DM35" s="186"/>
      <c r="DN35" s="201"/>
      <c r="DO35" s="186"/>
      <c r="DP35" s="240"/>
      <c r="DQ35" s="201"/>
      <c r="DR35" s="186"/>
      <c r="DS35" s="201"/>
      <c r="DT35" s="201"/>
      <c r="DU35" s="234"/>
      <c r="DV35" s="201"/>
      <c r="DW35" s="201"/>
      <c r="DX35" s="201"/>
      <c r="DY35" s="201"/>
      <c r="DZ35" s="201"/>
      <c r="EA35" s="201"/>
      <c r="EB35" s="201"/>
      <c r="EC35" s="201"/>
      <c r="ED35" s="201"/>
      <c r="EE35" s="201"/>
      <c r="EF35" s="201"/>
      <c r="EG35" s="201"/>
      <c r="EH35" s="201"/>
      <c r="EI35" s="201"/>
      <c r="EJ35" s="201"/>
      <c r="EK35" s="201"/>
      <c r="EL35" s="201"/>
      <c r="EM35" s="201"/>
      <c r="EN35" s="201"/>
      <c r="EO35" s="201"/>
      <c r="EP35" s="201"/>
      <c r="EQ35" s="201"/>
      <c r="ER35" s="201"/>
      <c r="ES35" s="201"/>
      <c r="ET35" s="201"/>
      <c r="EU35" s="201"/>
      <c r="EV35" s="201"/>
      <c r="EW35" s="201"/>
      <c r="EX35" s="201"/>
      <c r="EY35" s="201"/>
      <c r="EZ35" s="201"/>
      <c r="FA35" s="201"/>
      <c r="FB35" s="201"/>
      <c r="FC35" s="201"/>
      <c r="FD35" s="201"/>
      <c r="FE35" s="201"/>
      <c r="FF35" s="201"/>
      <c r="FG35" s="201"/>
      <c r="FH35" s="201"/>
      <c r="FI35" s="201"/>
      <c r="FJ35" s="201"/>
      <c r="FK35" s="201"/>
      <c r="FL35" s="228"/>
      <c r="FM35" s="186"/>
      <c r="FN35" s="201"/>
      <c r="FO35" s="201"/>
      <c r="FP35" s="201"/>
      <c r="FQ35" s="186"/>
      <c r="FR35" s="201"/>
      <c r="FS35" s="201"/>
      <c r="FT35" s="201"/>
      <c r="FU35" s="201"/>
      <c r="FV35" s="201"/>
      <c r="FW35" s="201"/>
      <c r="FX35" s="201"/>
      <c r="FY35" s="201"/>
      <c r="FZ35" s="201"/>
      <c r="GA35" s="201"/>
      <c r="GB35" s="201"/>
      <c r="GC35" s="201"/>
      <c r="GD35" s="201"/>
      <c r="GE35" s="201"/>
      <c r="GF35" s="201"/>
      <c r="GG35" s="201"/>
      <c r="GH35" s="201"/>
      <c r="GI35" s="201"/>
      <c r="GJ35" s="201"/>
      <c r="GK35" s="201"/>
      <c r="GL35" s="201"/>
      <c r="GM35" s="201"/>
      <c r="GN35" s="201"/>
      <c r="GO35" s="201"/>
      <c r="GP35" s="201"/>
      <c r="GQ35" s="201"/>
      <c r="GR35" s="201"/>
      <c r="GS35" s="201"/>
      <c r="GT35" s="201"/>
      <c r="GU35" s="201"/>
      <c r="GV35" s="201"/>
      <c r="GW35" s="201"/>
      <c r="GX35" s="201"/>
      <c r="GY35" s="201"/>
      <c r="GZ35" s="201"/>
      <c r="HA35" s="201"/>
      <c r="HB35" s="228"/>
    </row>
    <row r="36" spans="1:210" ht="71" thickBot="1">
      <c r="A36" s="57" t="s">
        <v>738</v>
      </c>
      <c r="B36" s="223"/>
      <c r="C36" s="193"/>
      <c r="D36" s="214"/>
      <c r="E36" s="193"/>
      <c r="F36" s="187"/>
      <c r="G36" s="184"/>
      <c r="H36" s="202"/>
      <c r="I36" s="202"/>
      <c r="J36" s="187"/>
      <c r="K36" s="184"/>
      <c r="L36" s="202"/>
      <c r="M36" s="184"/>
      <c r="N36" s="202"/>
      <c r="O36" s="187"/>
      <c r="P36" s="202"/>
      <c r="Q36" s="202"/>
      <c r="R36" s="17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26"/>
      <c r="DG36" s="229"/>
      <c r="DH36" s="214"/>
      <c r="DI36" s="187"/>
      <c r="DJ36" s="241"/>
      <c r="DK36" s="202"/>
      <c r="DL36" s="202"/>
      <c r="DM36" s="187"/>
      <c r="DN36" s="202"/>
      <c r="DO36" s="187"/>
      <c r="DP36" s="241"/>
      <c r="DQ36" s="202"/>
      <c r="DR36" s="187"/>
      <c r="DS36" s="202"/>
      <c r="DT36" s="202"/>
      <c r="DU36" s="235"/>
      <c r="DV36" s="202"/>
      <c r="DW36" s="202"/>
      <c r="DX36" s="202"/>
      <c r="DY36" s="202"/>
      <c r="DZ36" s="202"/>
      <c r="EA36" s="202"/>
      <c r="EB36" s="202"/>
      <c r="EC36" s="202"/>
      <c r="ED36" s="202"/>
      <c r="EE36" s="202"/>
      <c r="EF36" s="202"/>
      <c r="EG36" s="202"/>
      <c r="EH36" s="202"/>
      <c r="EI36" s="202"/>
      <c r="EJ36" s="202"/>
      <c r="EK36" s="202"/>
      <c r="EL36" s="202"/>
      <c r="EM36" s="202"/>
      <c r="EN36" s="202"/>
      <c r="EO36" s="202"/>
      <c r="EP36" s="202"/>
      <c r="EQ36" s="202"/>
      <c r="ER36" s="202"/>
      <c r="ES36" s="202"/>
      <c r="ET36" s="202"/>
      <c r="EU36" s="202"/>
      <c r="EV36" s="202"/>
      <c r="EW36" s="202"/>
      <c r="EX36" s="202"/>
      <c r="EY36" s="202"/>
      <c r="EZ36" s="202"/>
      <c r="FA36" s="202"/>
      <c r="FB36" s="202"/>
      <c r="FC36" s="202"/>
      <c r="FD36" s="202"/>
      <c r="FE36" s="202"/>
      <c r="FF36" s="202"/>
      <c r="FG36" s="202"/>
      <c r="FH36" s="202"/>
      <c r="FI36" s="202"/>
      <c r="FJ36" s="202"/>
      <c r="FK36" s="202"/>
      <c r="FL36" s="229"/>
      <c r="FM36" s="187"/>
      <c r="FN36" s="202"/>
      <c r="FO36" s="202"/>
      <c r="FP36" s="202"/>
      <c r="FQ36" s="187"/>
      <c r="FR36" s="202"/>
      <c r="FS36" s="202"/>
      <c r="FT36" s="202"/>
      <c r="FU36" s="202"/>
      <c r="FV36" s="202"/>
      <c r="FW36" s="202"/>
      <c r="FX36" s="202"/>
      <c r="FY36" s="202"/>
      <c r="FZ36" s="202"/>
      <c r="GA36" s="202"/>
      <c r="GB36" s="202"/>
      <c r="GC36" s="202"/>
      <c r="GD36" s="202"/>
      <c r="GE36" s="202"/>
      <c r="GF36" s="202"/>
      <c r="GG36" s="202"/>
      <c r="GH36" s="202"/>
      <c r="GI36" s="202"/>
      <c r="GJ36" s="202"/>
      <c r="GK36" s="202"/>
      <c r="GL36" s="202"/>
      <c r="GM36" s="202"/>
      <c r="GN36" s="202"/>
      <c r="GO36" s="202"/>
      <c r="GP36" s="202"/>
      <c r="GQ36" s="202"/>
      <c r="GR36" s="202"/>
      <c r="GS36" s="202"/>
      <c r="GT36" s="202"/>
      <c r="GU36" s="202"/>
      <c r="GV36" s="202"/>
      <c r="GW36" s="202"/>
      <c r="GX36" s="202"/>
      <c r="GY36" s="202"/>
      <c r="GZ36" s="202"/>
      <c r="HA36" s="202"/>
      <c r="HB36" s="229"/>
    </row>
    <row r="37" spans="1:210" ht="16" customHeight="1" thickTop="1">
      <c r="A37" s="59" t="s">
        <v>737</v>
      </c>
      <c r="B37" s="185">
        <v>1</v>
      </c>
      <c r="C37" s="167" t="s">
        <v>840</v>
      </c>
      <c r="D37" s="197">
        <v>1</v>
      </c>
      <c r="E37" s="167" t="s">
        <v>841</v>
      </c>
      <c r="F37" s="185">
        <v>1</v>
      </c>
      <c r="G37" s="167" t="s">
        <v>864</v>
      </c>
      <c r="H37" s="197">
        <v>1</v>
      </c>
      <c r="I37" s="197">
        <v>1</v>
      </c>
      <c r="J37" s="185">
        <v>1</v>
      </c>
      <c r="K37" s="170" t="s">
        <v>814</v>
      </c>
      <c r="L37" s="185">
        <v>1</v>
      </c>
      <c r="M37" s="170" t="s">
        <v>814</v>
      </c>
      <c r="N37" s="197">
        <v>1</v>
      </c>
      <c r="O37" s="185">
        <v>1</v>
      </c>
      <c r="P37" s="197">
        <v>1</v>
      </c>
      <c r="Q37" s="197">
        <v>1</v>
      </c>
      <c r="R37" s="170" t="s">
        <v>814</v>
      </c>
      <c r="S37" s="197">
        <v>1</v>
      </c>
      <c r="T37" s="197">
        <v>1</v>
      </c>
      <c r="U37" s="197">
        <v>1</v>
      </c>
      <c r="V37" s="197">
        <v>1</v>
      </c>
      <c r="W37" s="197">
        <v>1</v>
      </c>
      <c r="X37" s="197">
        <v>1</v>
      </c>
      <c r="Y37" s="197">
        <v>1</v>
      </c>
      <c r="Z37" s="197">
        <v>1</v>
      </c>
      <c r="AA37" s="197">
        <v>1</v>
      </c>
      <c r="AB37" s="197">
        <v>1</v>
      </c>
      <c r="AC37" s="197">
        <v>1</v>
      </c>
      <c r="AD37" s="197">
        <v>1</v>
      </c>
      <c r="AE37" s="197">
        <v>1</v>
      </c>
      <c r="AF37" s="197">
        <v>1</v>
      </c>
      <c r="AG37" s="197">
        <v>1</v>
      </c>
      <c r="AH37" s="197">
        <v>1</v>
      </c>
      <c r="AI37" s="197">
        <v>1</v>
      </c>
      <c r="AJ37" s="197">
        <v>1</v>
      </c>
      <c r="AK37" s="197">
        <v>1</v>
      </c>
      <c r="AL37" s="197">
        <v>1</v>
      </c>
      <c r="AM37" s="197">
        <v>1</v>
      </c>
      <c r="AN37" s="197">
        <v>1</v>
      </c>
      <c r="AO37" s="197">
        <v>1</v>
      </c>
      <c r="AP37" s="197">
        <v>1</v>
      </c>
      <c r="AQ37" s="197">
        <v>1</v>
      </c>
      <c r="AR37" s="197">
        <v>1</v>
      </c>
      <c r="AS37" s="197">
        <v>1</v>
      </c>
      <c r="AT37" s="197">
        <v>1</v>
      </c>
      <c r="AU37" s="197">
        <v>1</v>
      </c>
      <c r="AV37" s="197">
        <v>1</v>
      </c>
      <c r="AW37" s="197">
        <v>1</v>
      </c>
      <c r="AX37" s="197">
        <v>1</v>
      </c>
      <c r="AY37" s="197">
        <v>1</v>
      </c>
      <c r="AZ37" s="197">
        <v>1</v>
      </c>
      <c r="BA37" s="197">
        <v>1</v>
      </c>
      <c r="BB37" s="197">
        <v>1</v>
      </c>
      <c r="BC37" s="197">
        <v>1</v>
      </c>
      <c r="BD37" s="197">
        <v>1</v>
      </c>
      <c r="BE37" s="197">
        <v>1</v>
      </c>
      <c r="BF37" s="197">
        <v>1</v>
      </c>
      <c r="BG37" s="197">
        <v>1</v>
      </c>
      <c r="BH37" s="197">
        <v>1</v>
      </c>
      <c r="BI37" s="197">
        <v>1</v>
      </c>
      <c r="BJ37" s="197">
        <v>1</v>
      </c>
      <c r="BK37" s="197">
        <v>1</v>
      </c>
      <c r="BL37" s="197">
        <v>1</v>
      </c>
      <c r="BM37" s="197">
        <v>1</v>
      </c>
      <c r="BN37" s="197">
        <v>1</v>
      </c>
      <c r="BO37" s="197">
        <v>1</v>
      </c>
      <c r="BP37" s="197">
        <v>1</v>
      </c>
      <c r="BQ37" s="197">
        <v>1</v>
      </c>
      <c r="BR37" s="197">
        <v>1</v>
      </c>
      <c r="BS37" s="197">
        <v>1</v>
      </c>
      <c r="BT37" s="197">
        <v>1</v>
      </c>
      <c r="BU37" s="197">
        <v>1</v>
      </c>
      <c r="BV37" s="197">
        <v>1</v>
      </c>
      <c r="BW37" s="197">
        <v>1</v>
      </c>
      <c r="BX37" s="197">
        <v>1</v>
      </c>
      <c r="BY37" s="197">
        <v>1</v>
      </c>
      <c r="BZ37" s="197">
        <v>1</v>
      </c>
      <c r="CA37" s="197">
        <v>1</v>
      </c>
      <c r="CB37" s="197">
        <v>1</v>
      </c>
      <c r="CC37" s="197">
        <v>1</v>
      </c>
      <c r="CD37" s="197">
        <v>1</v>
      </c>
      <c r="CE37" s="197">
        <v>1</v>
      </c>
      <c r="CF37" s="197">
        <v>1</v>
      </c>
      <c r="CG37" s="197">
        <v>1</v>
      </c>
      <c r="CH37" s="197">
        <v>1</v>
      </c>
      <c r="CI37" s="197">
        <v>1</v>
      </c>
      <c r="CJ37" s="197">
        <v>1</v>
      </c>
      <c r="CK37" s="197">
        <v>1</v>
      </c>
      <c r="CL37" s="197">
        <v>1</v>
      </c>
      <c r="CM37" s="197">
        <v>1</v>
      </c>
      <c r="CN37" s="197">
        <v>1</v>
      </c>
      <c r="CO37" s="197">
        <v>1</v>
      </c>
      <c r="CP37" s="197">
        <v>1</v>
      </c>
      <c r="CQ37" s="197">
        <v>1</v>
      </c>
      <c r="CR37" s="197">
        <v>1</v>
      </c>
      <c r="CS37" s="197">
        <v>1</v>
      </c>
      <c r="CT37" s="197">
        <v>1</v>
      </c>
      <c r="CU37" s="197">
        <v>1</v>
      </c>
      <c r="CV37" s="197">
        <v>1</v>
      </c>
      <c r="CW37" s="197">
        <v>1</v>
      </c>
      <c r="CX37" s="197">
        <v>1</v>
      </c>
      <c r="CY37" s="197">
        <v>1</v>
      </c>
      <c r="CZ37" s="197">
        <v>1</v>
      </c>
      <c r="DA37" s="197">
        <v>1</v>
      </c>
      <c r="DB37" s="197">
        <v>1</v>
      </c>
      <c r="DC37" s="197">
        <v>1</v>
      </c>
      <c r="DD37" s="197">
        <v>1</v>
      </c>
      <c r="DE37" s="197">
        <v>1</v>
      </c>
      <c r="DF37" s="230">
        <v>1</v>
      </c>
      <c r="DG37" s="227">
        <f>+AVERAGE(B37:DF39)</f>
        <v>1</v>
      </c>
      <c r="DH37" s="197">
        <v>1</v>
      </c>
      <c r="DI37" s="185">
        <v>1</v>
      </c>
      <c r="DJ37" s="203"/>
      <c r="DK37" s="197">
        <v>1</v>
      </c>
      <c r="DL37" s="197">
        <v>1</v>
      </c>
      <c r="DM37" s="185">
        <v>1</v>
      </c>
      <c r="DN37" s="200">
        <v>1</v>
      </c>
      <c r="DO37" s="185">
        <v>1</v>
      </c>
      <c r="DP37" s="233"/>
      <c r="DQ37" s="197">
        <v>1</v>
      </c>
      <c r="DR37" s="185">
        <v>1</v>
      </c>
      <c r="DS37" s="197">
        <v>1</v>
      </c>
      <c r="DT37" s="197">
        <v>1</v>
      </c>
      <c r="DU37" s="233"/>
      <c r="DV37" s="197">
        <v>1</v>
      </c>
      <c r="DW37" s="197">
        <v>1</v>
      </c>
      <c r="DX37" s="197">
        <v>1</v>
      </c>
      <c r="DY37" s="197">
        <v>1</v>
      </c>
      <c r="DZ37" s="197">
        <v>1</v>
      </c>
      <c r="EA37" s="197">
        <v>1</v>
      </c>
      <c r="EB37" s="197">
        <v>1</v>
      </c>
      <c r="EC37" s="197">
        <v>1</v>
      </c>
      <c r="ED37" s="197">
        <v>1</v>
      </c>
      <c r="EE37" s="197">
        <v>1</v>
      </c>
      <c r="EF37" s="197">
        <v>1</v>
      </c>
      <c r="EG37" s="197">
        <v>1</v>
      </c>
      <c r="EH37" s="197">
        <v>1</v>
      </c>
      <c r="EI37" s="197">
        <v>1</v>
      </c>
      <c r="EJ37" s="197">
        <v>1</v>
      </c>
      <c r="EK37" s="197">
        <v>1</v>
      </c>
      <c r="EL37" s="197">
        <v>1</v>
      </c>
      <c r="EM37" s="197">
        <v>1</v>
      </c>
      <c r="EN37" s="197">
        <v>1</v>
      </c>
      <c r="EO37" s="197">
        <v>1</v>
      </c>
      <c r="EP37" s="197">
        <v>1</v>
      </c>
      <c r="EQ37" s="197">
        <v>1</v>
      </c>
      <c r="ER37" s="197">
        <v>1</v>
      </c>
      <c r="ES37" s="197">
        <v>1</v>
      </c>
      <c r="ET37" s="197">
        <v>1</v>
      </c>
      <c r="EU37" s="197">
        <v>1</v>
      </c>
      <c r="EV37" s="197">
        <v>1</v>
      </c>
      <c r="EW37" s="197">
        <v>1</v>
      </c>
      <c r="EX37" s="197">
        <v>1</v>
      </c>
      <c r="EY37" s="197">
        <v>1</v>
      </c>
      <c r="EZ37" s="197">
        <v>1</v>
      </c>
      <c r="FA37" s="197">
        <v>1</v>
      </c>
      <c r="FB37" s="197">
        <v>1</v>
      </c>
      <c r="FC37" s="197">
        <v>1</v>
      </c>
      <c r="FD37" s="197">
        <v>1</v>
      </c>
      <c r="FE37" s="197">
        <v>1</v>
      </c>
      <c r="FF37" s="197">
        <v>1</v>
      </c>
      <c r="FG37" s="197">
        <v>1</v>
      </c>
      <c r="FH37" s="197">
        <v>1</v>
      </c>
      <c r="FI37" s="197">
        <v>1</v>
      </c>
      <c r="FJ37" s="197">
        <v>1</v>
      </c>
      <c r="FK37" s="197">
        <v>1</v>
      </c>
      <c r="FL37" s="227">
        <f>+AVERAGE(DH37:FK39)</f>
        <v>1</v>
      </c>
      <c r="FM37" s="185">
        <v>1</v>
      </c>
      <c r="FN37" s="197">
        <v>1</v>
      </c>
      <c r="FO37" s="197">
        <v>1</v>
      </c>
      <c r="FP37" s="200">
        <v>1</v>
      </c>
      <c r="FQ37" s="185">
        <v>1</v>
      </c>
      <c r="FR37" s="197">
        <v>1</v>
      </c>
      <c r="FS37" s="197">
        <v>1</v>
      </c>
      <c r="FT37" s="197">
        <v>1</v>
      </c>
      <c r="FU37" s="197">
        <v>1</v>
      </c>
      <c r="FV37" s="197">
        <v>1</v>
      </c>
      <c r="FW37" s="197">
        <v>1</v>
      </c>
      <c r="FX37" s="197">
        <v>1</v>
      </c>
      <c r="FY37" s="197">
        <v>1</v>
      </c>
      <c r="FZ37" s="197">
        <v>1</v>
      </c>
      <c r="GA37" s="197">
        <v>1</v>
      </c>
      <c r="GB37" s="197">
        <v>1</v>
      </c>
      <c r="GC37" s="197">
        <v>1</v>
      </c>
      <c r="GD37" s="197">
        <v>1</v>
      </c>
      <c r="GE37" s="197">
        <v>1</v>
      </c>
      <c r="GF37" s="197">
        <v>1</v>
      </c>
      <c r="GG37" s="197">
        <v>1</v>
      </c>
      <c r="GH37" s="197">
        <v>1</v>
      </c>
      <c r="GI37" s="197">
        <v>1</v>
      </c>
      <c r="GJ37" s="197">
        <v>1</v>
      </c>
      <c r="GK37" s="197">
        <v>1</v>
      </c>
      <c r="GL37" s="197">
        <v>1</v>
      </c>
      <c r="GM37" s="197">
        <v>1</v>
      </c>
      <c r="GN37" s="197">
        <v>1</v>
      </c>
      <c r="GO37" s="197">
        <v>1</v>
      </c>
      <c r="GP37" s="197">
        <v>1</v>
      </c>
      <c r="GQ37" s="197">
        <v>1</v>
      </c>
      <c r="GR37" s="197">
        <v>1</v>
      </c>
      <c r="GS37" s="197">
        <v>1</v>
      </c>
      <c r="GT37" s="197">
        <v>1</v>
      </c>
      <c r="GU37" s="197">
        <v>1</v>
      </c>
      <c r="GV37" s="197">
        <v>1</v>
      </c>
      <c r="GW37" s="197">
        <v>1</v>
      </c>
      <c r="GX37" s="197">
        <v>1</v>
      </c>
      <c r="GY37" s="197">
        <v>1</v>
      </c>
      <c r="GZ37" s="197">
        <v>1</v>
      </c>
      <c r="HA37" s="197">
        <v>1</v>
      </c>
      <c r="HB37" s="227">
        <f t="shared" ref="HB37" si="7">+AVERAGE(FM37:HA39)</f>
        <v>1</v>
      </c>
    </row>
    <row r="38" spans="1:210" ht="15" customHeight="1">
      <c r="A38" s="60"/>
      <c r="B38" s="186"/>
      <c r="C38" s="168"/>
      <c r="D38" s="198"/>
      <c r="E38" s="168"/>
      <c r="F38" s="186"/>
      <c r="G38" s="168"/>
      <c r="H38" s="198"/>
      <c r="I38" s="198"/>
      <c r="J38" s="186"/>
      <c r="K38" s="171"/>
      <c r="L38" s="186"/>
      <c r="M38" s="171"/>
      <c r="N38" s="198"/>
      <c r="O38" s="186"/>
      <c r="P38" s="198"/>
      <c r="Q38" s="198"/>
      <c r="R38" s="171"/>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231"/>
      <c r="DG38" s="228"/>
      <c r="DH38" s="198"/>
      <c r="DI38" s="186"/>
      <c r="DJ38" s="204"/>
      <c r="DK38" s="198"/>
      <c r="DL38" s="198"/>
      <c r="DM38" s="186"/>
      <c r="DN38" s="201"/>
      <c r="DO38" s="186"/>
      <c r="DP38" s="234"/>
      <c r="DQ38" s="198"/>
      <c r="DR38" s="186"/>
      <c r="DS38" s="198"/>
      <c r="DT38" s="198"/>
      <c r="DU38" s="234"/>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228"/>
      <c r="FM38" s="186"/>
      <c r="FN38" s="198"/>
      <c r="FO38" s="198"/>
      <c r="FP38" s="201"/>
      <c r="FQ38" s="186"/>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228"/>
    </row>
    <row r="39" spans="1:210" ht="57" thickBot="1">
      <c r="A39" s="57" t="s">
        <v>736</v>
      </c>
      <c r="B39" s="187"/>
      <c r="C39" s="169"/>
      <c r="D39" s="199"/>
      <c r="E39" s="169"/>
      <c r="F39" s="187"/>
      <c r="G39" s="169"/>
      <c r="H39" s="199"/>
      <c r="I39" s="199"/>
      <c r="J39" s="187"/>
      <c r="K39" s="172"/>
      <c r="L39" s="187"/>
      <c r="M39" s="172"/>
      <c r="N39" s="199"/>
      <c r="O39" s="187"/>
      <c r="P39" s="199"/>
      <c r="Q39" s="199"/>
      <c r="R39" s="172"/>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232"/>
      <c r="DG39" s="229"/>
      <c r="DH39" s="199"/>
      <c r="DI39" s="187"/>
      <c r="DJ39" s="205"/>
      <c r="DK39" s="199"/>
      <c r="DL39" s="199"/>
      <c r="DM39" s="187"/>
      <c r="DN39" s="202"/>
      <c r="DO39" s="187"/>
      <c r="DP39" s="235"/>
      <c r="DQ39" s="199"/>
      <c r="DR39" s="187"/>
      <c r="DS39" s="199"/>
      <c r="DT39" s="199"/>
      <c r="DU39" s="235"/>
      <c r="DV39" s="199"/>
      <c r="DW39" s="199"/>
      <c r="DX39" s="199"/>
      <c r="DY39" s="199"/>
      <c r="DZ39" s="199"/>
      <c r="EA39" s="199"/>
      <c r="EB39" s="199"/>
      <c r="EC39" s="199"/>
      <c r="ED39" s="199"/>
      <c r="EE39" s="199"/>
      <c r="EF39" s="199"/>
      <c r="EG39" s="199"/>
      <c r="EH39" s="199"/>
      <c r="EI39" s="199"/>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229"/>
      <c r="FM39" s="187"/>
      <c r="FN39" s="199"/>
      <c r="FO39" s="199"/>
      <c r="FP39" s="202"/>
      <c r="FQ39" s="187"/>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229"/>
    </row>
    <row r="40" spans="1:210" ht="16" customHeight="1" thickTop="1">
      <c r="A40" s="59" t="s">
        <v>735</v>
      </c>
      <c r="B40" s="185">
        <v>1</v>
      </c>
      <c r="C40" s="167"/>
      <c r="D40" s="197">
        <v>1</v>
      </c>
      <c r="E40" s="167"/>
      <c r="F40" s="185">
        <v>1</v>
      </c>
      <c r="G40" s="167"/>
      <c r="H40" s="197">
        <v>1</v>
      </c>
      <c r="I40" s="197">
        <v>1</v>
      </c>
      <c r="J40" s="185">
        <v>1</v>
      </c>
      <c r="K40" s="167"/>
      <c r="L40" s="185">
        <v>1</v>
      </c>
      <c r="M40" s="167"/>
      <c r="N40" s="197">
        <v>1</v>
      </c>
      <c r="O40" s="185">
        <v>1</v>
      </c>
      <c r="P40" s="197">
        <v>1</v>
      </c>
      <c r="Q40" s="197">
        <v>1</v>
      </c>
      <c r="R40" s="170" t="s">
        <v>815</v>
      </c>
      <c r="S40" s="197">
        <v>1</v>
      </c>
      <c r="T40" s="197">
        <v>1</v>
      </c>
      <c r="U40" s="197">
        <v>1</v>
      </c>
      <c r="V40" s="197">
        <v>1</v>
      </c>
      <c r="W40" s="197">
        <v>1</v>
      </c>
      <c r="X40" s="197">
        <v>1</v>
      </c>
      <c r="Y40" s="197">
        <v>1</v>
      </c>
      <c r="Z40" s="197">
        <v>1</v>
      </c>
      <c r="AA40" s="197">
        <v>1</v>
      </c>
      <c r="AB40" s="197">
        <v>1</v>
      </c>
      <c r="AC40" s="197">
        <v>1</v>
      </c>
      <c r="AD40" s="197">
        <v>1</v>
      </c>
      <c r="AE40" s="197">
        <v>1</v>
      </c>
      <c r="AF40" s="197">
        <v>1</v>
      </c>
      <c r="AG40" s="197">
        <v>1</v>
      </c>
      <c r="AH40" s="197">
        <v>1</v>
      </c>
      <c r="AI40" s="197">
        <v>1</v>
      </c>
      <c r="AJ40" s="197">
        <v>1</v>
      </c>
      <c r="AK40" s="197">
        <v>1</v>
      </c>
      <c r="AL40" s="197">
        <v>1</v>
      </c>
      <c r="AM40" s="197">
        <v>1</v>
      </c>
      <c r="AN40" s="197">
        <v>1</v>
      </c>
      <c r="AO40" s="197">
        <v>1</v>
      </c>
      <c r="AP40" s="197">
        <v>1</v>
      </c>
      <c r="AQ40" s="197">
        <v>1</v>
      </c>
      <c r="AR40" s="197">
        <v>1</v>
      </c>
      <c r="AS40" s="197">
        <v>1</v>
      </c>
      <c r="AT40" s="197">
        <v>1</v>
      </c>
      <c r="AU40" s="197">
        <v>1</v>
      </c>
      <c r="AV40" s="197">
        <v>1</v>
      </c>
      <c r="AW40" s="197">
        <v>1</v>
      </c>
      <c r="AX40" s="197">
        <v>1</v>
      </c>
      <c r="AY40" s="197">
        <v>1</v>
      </c>
      <c r="AZ40" s="197">
        <v>1</v>
      </c>
      <c r="BA40" s="197">
        <v>1</v>
      </c>
      <c r="BB40" s="197">
        <v>1</v>
      </c>
      <c r="BC40" s="197">
        <v>1</v>
      </c>
      <c r="BD40" s="197">
        <v>1</v>
      </c>
      <c r="BE40" s="197">
        <v>1</v>
      </c>
      <c r="BF40" s="197">
        <v>1</v>
      </c>
      <c r="BG40" s="197">
        <v>1</v>
      </c>
      <c r="BH40" s="197">
        <v>1</v>
      </c>
      <c r="BI40" s="197">
        <v>1</v>
      </c>
      <c r="BJ40" s="197">
        <v>1</v>
      </c>
      <c r="BK40" s="197">
        <v>1</v>
      </c>
      <c r="BL40" s="197">
        <v>1</v>
      </c>
      <c r="BM40" s="197">
        <v>1</v>
      </c>
      <c r="BN40" s="197">
        <v>1</v>
      </c>
      <c r="BO40" s="197">
        <v>1</v>
      </c>
      <c r="BP40" s="197">
        <v>1</v>
      </c>
      <c r="BQ40" s="197">
        <v>1</v>
      </c>
      <c r="BR40" s="197">
        <v>1</v>
      </c>
      <c r="BS40" s="197">
        <v>1</v>
      </c>
      <c r="BT40" s="197">
        <v>1</v>
      </c>
      <c r="BU40" s="197">
        <v>1</v>
      </c>
      <c r="BV40" s="197">
        <v>1</v>
      </c>
      <c r="BW40" s="197">
        <v>1</v>
      </c>
      <c r="BX40" s="197">
        <v>1</v>
      </c>
      <c r="BY40" s="197">
        <v>1</v>
      </c>
      <c r="BZ40" s="197">
        <v>1</v>
      </c>
      <c r="CA40" s="197">
        <v>1</v>
      </c>
      <c r="CB40" s="197">
        <v>1</v>
      </c>
      <c r="CC40" s="197">
        <v>1</v>
      </c>
      <c r="CD40" s="197">
        <v>1</v>
      </c>
      <c r="CE40" s="197">
        <v>1</v>
      </c>
      <c r="CF40" s="197">
        <v>1</v>
      </c>
      <c r="CG40" s="197">
        <v>1</v>
      </c>
      <c r="CH40" s="197">
        <v>1</v>
      </c>
      <c r="CI40" s="197">
        <v>1</v>
      </c>
      <c r="CJ40" s="197">
        <v>1</v>
      </c>
      <c r="CK40" s="197">
        <v>1</v>
      </c>
      <c r="CL40" s="197">
        <v>1</v>
      </c>
      <c r="CM40" s="197">
        <v>1</v>
      </c>
      <c r="CN40" s="197">
        <v>1</v>
      </c>
      <c r="CO40" s="197">
        <v>1</v>
      </c>
      <c r="CP40" s="197">
        <v>1</v>
      </c>
      <c r="CQ40" s="197">
        <v>1</v>
      </c>
      <c r="CR40" s="197">
        <v>1</v>
      </c>
      <c r="CS40" s="197">
        <v>1</v>
      </c>
      <c r="CT40" s="197">
        <v>1</v>
      </c>
      <c r="CU40" s="197">
        <v>1</v>
      </c>
      <c r="CV40" s="197">
        <v>1</v>
      </c>
      <c r="CW40" s="197">
        <v>1</v>
      </c>
      <c r="CX40" s="197">
        <v>1</v>
      </c>
      <c r="CY40" s="197">
        <v>1</v>
      </c>
      <c r="CZ40" s="197">
        <v>1</v>
      </c>
      <c r="DA40" s="197">
        <v>1</v>
      </c>
      <c r="DB40" s="197">
        <v>1</v>
      </c>
      <c r="DC40" s="197">
        <v>1</v>
      </c>
      <c r="DD40" s="197">
        <v>1</v>
      </c>
      <c r="DE40" s="197">
        <v>1</v>
      </c>
      <c r="DF40" s="230">
        <v>1</v>
      </c>
      <c r="DG40" s="227">
        <f>+AVERAGE(B40:DF42)</f>
        <v>1</v>
      </c>
      <c r="DH40" s="197">
        <v>1</v>
      </c>
      <c r="DI40" s="185">
        <v>1</v>
      </c>
      <c r="DJ40" s="203"/>
      <c r="DK40" s="197">
        <v>1</v>
      </c>
      <c r="DL40" s="197">
        <v>1</v>
      </c>
      <c r="DM40" s="185">
        <v>1</v>
      </c>
      <c r="DN40" s="197">
        <v>1</v>
      </c>
      <c r="DO40" s="185">
        <v>1</v>
      </c>
      <c r="DP40" s="203"/>
      <c r="DQ40" s="197">
        <v>1</v>
      </c>
      <c r="DR40" s="185">
        <v>1</v>
      </c>
      <c r="DS40" s="197">
        <v>1</v>
      </c>
      <c r="DT40" s="197">
        <v>1</v>
      </c>
      <c r="DU40" s="233"/>
      <c r="DV40" s="197">
        <v>1</v>
      </c>
      <c r="DW40" s="197">
        <v>1</v>
      </c>
      <c r="DX40" s="197">
        <v>1</v>
      </c>
      <c r="DY40" s="197">
        <v>1</v>
      </c>
      <c r="DZ40" s="197">
        <v>1</v>
      </c>
      <c r="EA40" s="197">
        <v>1</v>
      </c>
      <c r="EB40" s="197">
        <v>1</v>
      </c>
      <c r="EC40" s="197">
        <v>1</v>
      </c>
      <c r="ED40" s="197">
        <v>1</v>
      </c>
      <c r="EE40" s="197">
        <v>1</v>
      </c>
      <c r="EF40" s="197">
        <v>1</v>
      </c>
      <c r="EG40" s="197">
        <v>1</v>
      </c>
      <c r="EH40" s="197">
        <v>1</v>
      </c>
      <c r="EI40" s="197">
        <v>1</v>
      </c>
      <c r="EJ40" s="197">
        <v>1</v>
      </c>
      <c r="EK40" s="197">
        <v>1</v>
      </c>
      <c r="EL40" s="197">
        <v>1</v>
      </c>
      <c r="EM40" s="197">
        <v>1</v>
      </c>
      <c r="EN40" s="197">
        <v>1</v>
      </c>
      <c r="EO40" s="197">
        <v>1</v>
      </c>
      <c r="EP40" s="197">
        <v>1</v>
      </c>
      <c r="EQ40" s="197">
        <v>1</v>
      </c>
      <c r="ER40" s="197">
        <v>1</v>
      </c>
      <c r="ES40" s="197">
        <v>1</v>
      </c>
      <c r="ET40" s="197">
        <v>1</v>
      </c>
      <c r="EU40" s="197">
        <v>1</v>
      </c>
      <c r="EV40" s="197">
        <v>1</v>
      </c>
      <c r="EW40" s="197">
        <v>1</v>
      </c>
      <c r="EX40" s="197">
        <v>1</v>
      </c>
      <c r="EY40" s="197">
        <v>1</v>
      </c>
      <c r="EZ40" s="197">
        <v>1</v>
      </c>
      <c r="FA40" s="197">
        <v>1</v>
      </c>
      <c r="FB40" s="197">
        <v>1</v>
      </c>
      <c r="FC40" s="197">
        <v>1</v>
      </c>
      <c r="FD40" s="197">
        <v>1</v>
      </c>
      <c r="FE40" s="197">
        <v>1</v>
      </c>
      <c r="FF40" s="197">
        <v>1</v>
      </c>
      <c r="FG40" s="197">
        <v>1</v>
      </c>
      <c r="FH40" s="197">
        <v>1</v>
      </c>
      <c r="FI40" s="197">
        <v>1</v>
      </c>
      <c r="FJ40" s="197">
        <v>1</v>
      </c>
      <c r="FK40" s="197">
        <v>1</v>
      </c>
      <c r="FL40" s="227">
        <f>+AVERAGE(DH40:FK42)</f>
        <v>1</v>
      </c>
      <c r="FM40" s="185">
        <v>1</v>
      </c>
      <c r="FN40" s="197">
        <v>1</v>
      </c>
      <c r="FO40" s="197">
        <v>1</v>
      </c>
      <c r="FP40" s="197">
        <v>1</v>
      </c>
      <c r="FQ40" s="185">
        <v>1</v>
      </c>
      <c r="FR40" s="197">
        <v>1</v>
      </c>
      <c r="FS40" s="197">
        <v>1</v>
      </c>
      <c r="FT40" s="197">
        <v>1</v>
      </c>
      <c r="FU40" s="197">
        <v>1</v>
      </c>
      <c r="FV40" s="197">
        <v>1</v>
      </c>
      <c r="FW40" s="197">
        <v>1</v>
      </c>
      <c r="FX40" s="197">
        <v>1</v>
      </c>
      <c r="FY40" s="197">
        <v>1</v>
      </c>
      <c r="FZ40" s="197">
        <v>1</v>
      </c>
      <c r="GA40" s="197">
        <v>1</v>
      </c>
      <c r="GB40" s="197">
        <v>1</v>
      </c>
      <c r="GC40" s="197">
        <v>1</v>
      </c>
      <c r="GD40" s="197">
        <v>1</v>
      </c>
      <c r="GE40" s="197">
        <v>1</v>
      </c>
      <c r="GF40" s="197">
        <v>1</v>
      </c>
      <c r="GG40" s="197">
        <v>1</v>
      </c>
      <c r="GH40" s="197">
        <v>1</v>
      </c>
      <c r="GI40" s="197">
        <v>1</v>
      </c>
      <c r="GJ40" s="197">
        <v>1</v>
      </c>
      <c r="GK40" s="197">
        <v>1</v>
      </c>
      <c r="GL40" s="197">
        <v>1</v>
      </c>
      <c r="GM40" s="197">
        <v>1</v>
      </c>
      <c r="GN40" s="197">
        <v>1</v>
      </c>
      <c r="GO40" s="197">
        <v>1</v>
      </c>
      <c r="GP40" s="197">
        <v>1</v>
      </c>
      <c r="GQ40" s="197">
        <v>1</v>
      </c>
      <c r="GR40" s="197">
        <v>1</v>
      </c>
      <c r="GS40" s="197">
        <v>1</v>
      </c>
      <c r="GT40" s="197">
        <v>1</v>
      </c>
      <c r="GU40" s="197">
        <v>1</v>
      </c>
      <c r="GV40" s="197">
        <v>1</v>
      </c>
      <c r="GW40" s="197">
        <v>1</v>
      </c>
      <c r="GX40" s="197">
        <v>1</v>
      </c>
      <c r="GY40" s="197">
        <v>1</v>
      </c>
      <c r="GZ40" s="197">
        <v>1</v>
      </c>
      <c r="HA40" s="197">
        <v>1</v>
      </c>
      <c r="HB40" s="227">
        <f t="shared" ref="HB40" si="8">+AVERAGE(FM40:HA42)</f>
        <v>1</v>
      </c>
    </row>
    <row r="41" spans="1:210" ht="15" customHeight="1">
      <c r="A41" s="60" t="s">
        <v>25</v>
      </c>
      <c r="B41" s="186"/>
      <c r="C41" s="168"/>
      <c r="D41" s="198"/>
      <c r="E41" s="168"/>
      <c r="F41" s="186"/>
      <c r="G41" s="168"/>
      <c r="H41" s="198"/>
      <c r="I41" s="198"/>
      <c r="J41" s="186"/>
      <c r="K41" s="168"/>
      <c r="L41" s="186"/>
      <c r="M41" s="168"/>
      <c r="N41" s="198"/>
      <c r="O41" s="186"/>
      <c r="P41" s="198"/>
      <c r="Q41" s="198"/>
      <c r="R41" s="171"/>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231"/>
      <c r="DG41" s="228"/>
      <c r="DH41" s="198"/>
      <c r="DI41" s="186"/>
      <c r="DJ41" s="204"/>
      <c r="DK41" s="198"/>
      <c r="DL41" s="198"/>
      <c r="DM41" s="186"/>
      <c r="DN41" s="198"/>
      <c r="DO41" s="186"/>
      <c r="DP41" s="204"/>
      <c r="DQ41" s="198"/>
      <c r="DR41" s="186"/>
      <c r="DS41" s="198"/>
      <c r="DT41" s="198"/>
      <c r="DU41" s="234"/>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228"/>
      <c r="FM41" s="186"/>
      <c r="FN41" s="198"/>
      <c r="FO41" s="198"/>
      <c r="FP41" s="198"/>
      <c r="FQ41" s="186"/>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228"/>
    </row>
    <row r="42" spans="1:210" ht="57" thickBot="1">
      <c r="A42" s="57" t="s">
        <v>734</v>
      </c>
      <c r="B42" s="187"/>
      <c r="C42" s="169"/>
      <c r="D42" s="199"/>
      <c r="E42" s="169"/>
      <c r="F42" s="187"/>
      <c r="G42" s="169"/>
      <c r="H42" s="199"/>
      <c r="I42" s="199"/>
      <c r="J42" s="187"/>
      <c r="K42" s="169"/>
      <c r="L42" s="187"/>
      <c r="M42" s="169"/>
      <c r="N42" s="199"/>
      <c r="O42" s="187"/>
      <c r="P42" s="199"/>
      <c r="Q42" s="199"/>
      <c r="R42" s="172"/>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232"/>
      <c r="DG42" s="229"/>
      <c r="DH42" s="199"/>
      <c r="DI42" s="187"/>
      <c r="DJ42" s="205"/>
      <c r="DK42" s="199"/>
      <c r="DL42" s="199"/>
      <c r="DM42" s="187"/>
      <c r="DN42" s="199"/>
      <c r="DO42" s="187"/>
      <c r="DP42" s="205"/>
      <c r="DQ42" s="199"/>
      <c r="DR42" s="187"/>
      <c r="DS42" s="199"/>
      <c r="DT42" s="199"/>
      <c r="DU42" s="235"/>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229"/>
      <c r="FM42" s="187"/>
      <c r="FN42" s="199"/>
      <c r="FO42" s="199"/>
      <c r="FP42" s="199"/>
      <c r="FQ42" s="187"/>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229"/>
    </row>
    <row r="43" spans="1:210" ht="16" customHeight="1" thickTop="1">
      <c r="A43" s="59" t="s">
        <v>733</v>
      </c>
      <c r="B43" s="185">
        <v>1</v>
      </c>
      <c r="C43" s="170" t="s">
        <v>814</v>
      </c>
      <c r="D43" s="197">
        <v>1</v>
      </c>
      <c r="E43" s="170" t="s">
        <v>814</v>
      </c>
      <c r="F43" s="185">
        <v>1</v>
      </c>
      <c r="G43" s="170"/>
      <c r="H43" s="197">
        <v>1</v>
      </c>
      <c r="I43" s="197">
        <v>1</v>
      </c>
      <c r="J43" s="185">
        <v>1</v>
      </c>
      <c r="K43" s="170"/>
      <c r="L43" s="197">
        <v>1</v>
      </c>
      <c r="M43" s="170"/>
      <c r="N43" s="197">
        <v>1</v>
      </c>
      <c r="O43" s="185">
        <v>1</v>
      </c>
      <c r="P43" s="197">
        <v>1</v>
      </c>
      <c r="Q43" s="197">
        <v>1</v>
      </c>
      <c r="R43" s="170" t="s">
        <v>814</v>
      </c>
      <c r="S43" s="197">
        <v>1</v>
      </c>
      <c r="T43" s="197">
        <v>1</v>
      </c>
      <c r="U43" s="197">
        <v>1</v>
      </c>
      <c r="V43" s="197">
        <v>1</v>
      </c>
      <c r="W43" s="197">
        <v>1</v>
      </c>
      <c r="X43" s="197">
        <v>1</v>
      </c>
      <c r="Y43" s="197">
        <v>1</v>
      </c>
      <c r="Z43" s="197">
        <v>1</v>
      </c>
      <c r="AA43" s="197">
        <v>1</v>
      </c>
      <c r="AB43" s="197">
        <v>1</v>
      </c>
      <c r="AC43" s="197">
        <v>1</v>
      </c>
      <c r="AD43" s="197">
        <v>1</v>
      </c>
      <c r="AE43" s="197">
        <v>1</v>
      </c>
      <c r="AF43" s="197">
        <v>1</v>
      </c>
      <c r="AG43" s="197">
        <v>1</v>
      </c>
      <c r="AH43" s="197">
        <v>1</v>
      </c>
      <c r="AI43" s="197">
        <v>1</v>
      </c>
      <c r="AJ43" s="197">
        <v>1</v>
      </c>
      <c r="AK43" s="197">
        <v>1</v>
      </c>
      <c r="AL43" s="197">
        <v>1</v>
      </c>
      <c r="AM43" s="197">
        <v>1</v>
      </c>
      <c r="AN43" s="197">
        <v>1</v>
      </c>
      <c r="AO43" s="197">
        <v>1</v>
      </c>
      <c r="AP43" s="197">
        <v>1</v>
      </c>
      <c r="AQ43" s="197">
        <v>1</v>
      </c>
      <c r="AR43" s="197">
        <v>1</v>
      </c>
      <c r="AS43" s="197">
        <v>1</v>
      </c>
      <c r="AT43" s="197">
        <v>1</v>
      </c>
      <c r="AU43" s="197">
        <v>1</v>
      </c>
      <c r="AV43" s="197">
        <v>1</v>
      </c>
      <c r="AW43" s="197">
        <v>1</v>
      </c>
      <c r="AX43" s="197">
        <v>1</v>
      </c>
      <c r="AY43" s="197">
        <v>1</v>
      </c>
      <c r="AZ43" s="197">
        <v>1</v>
      </c>
      <c r="BA43" s="197">
        <v>1</v>
      </c>
      <c r="BB43" s="197">
        <v>1</v>
      </c>
      <c r="BC43" s="197">
        <v>1</v>
      </c>
      <c r="BD43" s="197">
        <v>1</v>
      </c>
      <c r="BE43" s="197">
        <v>1</v>
      </c>
      <c r="BF43" s="197">
        <v>1</v>
      </c>
      <c r="BG43" s="197">
        <v>1</v>
      </c>
      <c r="BH43" s="197">
        <v>1</v>
      </c>
      <c r="BI43" s="197">
        <v>1</v>
      </c>
      <c r="BJ43" s="197">
        <v>1</v>
      </c>
      <c r="BK43" s="197">
        <v>1</v>
      </c>
      <c r="BL43" s="197">
        <v>1</v>
      </c>
      <c r="BM43" s="197">
        <v>1</v>
      </c>
      <c r="BN43" s="197">
        <v>1</v>
      </c>
      <c r="BO43" s="197">
        <v>1</v>
      </c>
      <c r="BP43" s="197">
        <v>1</v>
      </c>
      <c r="BQ43" s="197">
        <v>1</v>
      </c>
      <c r="BR43" s="197">
        <v>1</v>
      </c>
      <c r="BS43" s="197">
        <v>1</v>
      </c>
      <c r="BT43" s="197">
        <v>1</v>
      </c>
      <c r="BU43" s="197">
        <v>1</v>
      </c>
      <c r="BV43" s="197">
        <v>1</v>
      </c>
      <c r="BW43" s="197">
        <v>1</v>
      </c>
      <c r="BX43" s="248" t="s">
        <v>893</v>
      </c>
      <c r="BY43" s="197">
        <v>1</v>
      </c>
      <c r="BZ43" s="197">
        <v>1</v>
      </c>
      <c r="CA43" s="197">
        <v>1</v>
      </c>
      <c r="CB43" s="197">
        <v>1</v>
      </c>
      <c r="CC43" s="197">
        <v>1</v>
      </c>
      <c r="CD43" s="197">
        <v>1</v>
      </c>
      <c r="CE43" s="197">
        <v>1</v>
      </c>
      <c r="CF43" s="197">
        <v>1</v>
      </c>
      <c r="CG43" s="197">
        <v>1</v>
      </c>
      <c r="CH43" s="197">
        <v>1</v>
      </c>
      <c r="CI43" s="197">
        <v>1</v>
      </c>
      <c r="CJ43" s="197">
        <v>1</v>
      </c>
      <c r="CK43" s="197">
        <v>1</v>
      </c>
      <c r="CL43" s="197">
        <v>1</v>
      </c>
      <c r="CM43" s="197">
        <v>1</v>
      </c>
      <c r="CN43" s="197">
        <v>1</v>
      </c>
      <c r="CO43" s="197">
        <v>1</v>
      </c>
      <c r="CP43" s="197">
        <v>1</v>
      </c>
      <c r="CQ43" s="197">
        <v>1</v>
      </c>
      <c r="CR43" s="197">
        <v>1</v>
      </c>
      <c r="CS43" s="197">
        <v>1</v>
      </c>
      <c r="CT43" s="197">
        <v>1</v>
      </c>
      <c r="CU43" s="197">
        <v>1</v>
      </c>
      <c r="CV43" s="197">
        <v>1</v>
      </c>
      <c r="CW43" s="197">
        <v>1</v>
      </c>
      <c r="CX43" s="197">
        <v>1</v>
      </c>
      <c r="CY43" s="197">
        <v>1</v>
      </c>
      <c r="CZ43" s="197">
        <v>1</v>
      </c>
      <c r="DA43" s="197">
        <v>1</v>
      </c>
      <c r="DB43" s="197">
        <v>1</v>
      </c>
      <c r="DC43" s="197">
        <v>1</v>
      </c>
      <c r="DD43" s="197">
        <v>1</v>
      </c>
      <c r="DE43" s="197">
        <v>1</v>
      </c>
      <c r="DF43" s="197">
        <v>1</v>
      </c>
      <c r="DG43" s="227">
        <f>+AVERAGE(B43:DF45)</f>
        <v>1</v>
      </c>
      <c r="DH43" s="197">
        <v>1</v>
      </c>
      <c r="DI43" s="197">
        <v>1</v>
      </c>
      <c r="DJ43" s="233"/>
      <c r="DK43" s="197">
        <v>1</v>
      </c>
      <c r="DL43" s="197">
        <v>1</v>
      </c>
      <c r="DM43" s="197">
        <v>1</v>
      </c>
      <c r="DN43" s="197">
        <v>1</v>
      </c>
      <c r="DO43" s="197">
        <v>1</v>
      </c>
      <c r="DP43" s="233"/>
      <c r="DQ43" s="197">
        <v>1</v>
      </c>
      <c r="DR43" s="185">
        <v>1</v>
      </c>
      <c r="DS43" s="197">
        <v>1</v>
      </c>
      <c r="DT43" s="197">
        <v>1</v>
      </c>
      <c r="DU43" s="233"/>
      <c r="DV43" s="197">
        <v>1</v>
      </c>
      <c r="DW43" s="197">
        <v>1</v>
      </c>
      <c r="DX43" s="197">
        <v>1</v>
      </c>
      <c r="DY43" s="197">
        <v>1</v>
      </c>
      <c r="DZ43" s="197">
        <v>1</v>
      </c>
      <c r="EA43" s="197">
        <v>1</v>
      </c>
      <c r="EB43" s="197">
        <v>1</v>
      </c>
      <c r="EC43" s="197">
        <v>1</v>
      </c>
      <c r="ED43" s="197">
        <v>1</v>
      </c>
      <c r="EE43" s="197">
        <v>1</v>
      </c>
      <c r="EF43" s="197">
        <v>1</v>
      </c>
      <c r="EG43" s="197">
        <v>1</v>
      </c>
      <c r="EH43" s="197">
        <v>1</v>
      </c>
      <c r="EI43" s="197">
        <v>1</v>
      </c>
      <c r="EJ43" s="197">
        <v>1</v>
      </c>
      <c r="EK43" s="197">
        <v>1</v>
      </c>
      <c r="EL43" s="197">
        <v>1</v>
      </c>
      <c r="EM43" s="197">
        <v>1</v>
      </c>
      <c r="EN43" s="197">
        <v>1</v>
      </c>
      <c r="EO43" s="197">
        <v>1</v>
      </c>
      <c r="EP43" s="197">
        <v>1</v>
      </c>
      <c r="EQ43" s="197">
        <v>1</v>
      </c>
      <c r="ER43" s="197">
        <v>1</v>
      </c>
      <c r="ES43" s="197">
        <v>1</v>
      </c>
      <c r="ET43" s="197">
        <v>1</v>
      </c>
      <c r="EU43" s="197">
        <v>1</v>
      </c>
      <c r="EV43" s="197">
        <v>1</v>
      </c>
      <c r="EW43" s="197">
        <v>1</v>
      </c>
      <c r="EX43" s="197">
        <v>1</v>
      </c>
      <c r="EY43" s="197">
        <v>1</v>
      </c>
      <c r="EZ43" s="197">
        <v>1</v>
      </c>
      <c r="FA43" s="197">
        <v>1</v>
      </c>
      <c r="FB43" s="197">
        <v>1</v>
      </c>
      <c r="FC43" s="197">
        <v>1</v>
      </c>
      <c r="FD43" s="197">
        <v>1</v>
      </c>
      <c r="FE43" s="197">
        <v>1</v>
      </c>
      <c r="FF43" s="197">
        <v>1</v>
      </c>
      <c r="FG43" s="197">
        <v>1</v>
      </c>
      <c r="FH43" s="197">
        <v>1</v>
      </c>
      <c r="FI43" s="197">
        <v>1</v>
      </c>
      <c r="FJ43" s="197">
        <v>1</v>
      </c>
      <c r="FK43" s="197">
        <v>1</v>
      </c>
      <c r="FL43" s="227">
        <f>+AVERAGE(DH43:FK45)</f>
        <v>1</v>
      </c>
      <c r="FM43" s="185">
        <v>1</v>
      </c>
      <c r="FN43" s="197">
        <v>1</v>
      </c>
      <c r="FO43" s="197">
        <v>1</v>
      </c>
      <c r="FP43" s="197">
        <v>1</v>
      </c>
      <c r="FQ43" s="185">
        <v>1</v>
      </c>
      <c r="FR43" s="197">
        <v>1</v>
      </c>
      <c r="FS43" s="197">
        <v>1</v>
      </c>
      <c r="FT43" s="197">
        <v>1</v>
      </c>
      <c r="FU43" s="197">
        <v>1</v>
      </c>
      <c r="FV43" s="197">
        <v>1</v>
      </c>
      <c r="FW43" s="197">
        <v>1</v>
      </c>
      <c r="FX43" s="197">
        <v>1</v>
      </c>
      <c r="FY43" s="197">
        <v>1</v>
      </c>
      <c r="FZ43" s="197">
        <v>1</v>
      </c>
      <c r="GA43" s="197">
        <v>1</v>
      </c>
      <c r="GB43" s="197">
        <v>1</v>
      </c>
      <c r="GC43" s="197">
        <v>1</v>
      </c>
      <c r="GD43" s="197">
        <v>1</v>
      </c>
      <c r="GE43" s="197">
        <v>1</v>
      </c>
      <c r="GF43" s="197">
        <v>1</v>
      </c>
      <c r="GG43" s="197">
        <v>1</v>
      </c>
      <c r="GH43" s="197">
        <v>1</v>
      </c>
      <c r="GI43" s="197">
        <v>1</v>
      </c>
      <c r="GJ43" s="197">
        <v>1</v>
      </c>
      <c r="GK43" s="197">
        <v>1</v>
      </c>
      <c r="GL43" s="197">
        <v>1</v>
      </c>
      <c r="GM43" s="197">
        <v>1</v>
      </c>
      <c r="GN43" s="197">
        <v>1</v>
      </c>
      <c r="GO43" s="197">
        <v>1</v>
      </c>
      <c r="GP43" s="197">
        <v>1</v>
      </c>
      <c r="GQ43" s="197">
        <v>1</v>
      </c>
      <c r="GR43" s="197">
        <v>1</v>
      </c>
      <c r="GS43" s="197">
        <v>1</v>
      </c>
      <c r="GT43" s="197">
        <v>1</v>
      </c>
      <c r="GU43" s="197">
        <v>1</v>
      </c>
      <c r="GV43" s="197">
        <v>1</v>
      </c>
      <c r="GW43" s="197">
        <v>1</v>
      </c>
      <c r="GX43" s="197">
        <v>1</v>
      </c>
      <c r="GY43" s="197">
        <v>1</v>
      </c>
      <c r="GZ43" s="197">
        <v>1</v>
      </c>
      <c r="HA43" s="197">
        <v>1</v>
      </c>
      <c r="HB43" s="227">
        <f t="shared" ref="HB43" si="9">+AVERAGE(FM43:HA45)</f>
        <v>1</v>
      </c>
    </row>
    <row r="44" spans="1:210" ht="15" customHeight="1">
      <c r="A44" s="58"/>
      <c r="B44" s="186"/>
      <c r="C44" s="171"/>
      <c r="D44" s="198"/>
      <c r="E44" s="171"/>
      <c r="F44" s="186"/>
      <c r="G44" s="171"/>
      <c r="H44" s="198"/>
      <c r="I44" s="198"/>
      <c r="J44" s="186"/>
      <c r="K44" s="171"/>
      <c r="L44" s="198"/>
      <c r="M44" s="171"/>
      <c r="N44" s="198"/>
      <c r="O44" s="186"/>
      <c r="P44" s="198"/>
      <c r="Q44" s="198"/>
      <c r="R44" s="171"/>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228"/>
      <c r="DH44" s="198"/>
      <c r="DI44" s="198"/>
      <c r="DJ44" s="234"/>
      <c r="DK44" s="198"/>
      <c r="DL44" s="198"/>
      <c r="DM44" s="198"/>
      <c r="DN44" s="198"/>
      <c r="DO44" s="198"/>
      <c r="DP44" s="234"/>
      <c r="DQ44" s="198"/>
      <c r="DR44" s="186"/>
      <c r="DS44" s="198"/>
      <c r="DT44" s="198"/>
      <c r="DU44" s="234"/>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228"/>
      <c r="FM44" s="186"/>
      <c r="FN44" s="198"/>
      <c r="FO44" s="198"/>
      <c r="FP44" s="198"/>
      <c r="FQ44" s="186"/>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228"/>
    </row>
    <row r="45" spans="1:210" ht="113" thickBot="1">
      <c r="A45" s="57" t="s">
        <v>732</v>
      </c>
      <c r="B45" s="187"/>
      <c r="C45" s="172"/>
      <c r="D45" s="199"/>
      <c r="E45" s="172"/>
      <c r="F45" s="187"/>
      <c r="G45" s="172"/>
      <c r="H45" s="199"/>
      <c r="I45" s="199"/>
      <c r="J45" s="187"/>
      <c r="K45" s="172"/>
      <c r="L45" s="199"/>
      <c r="M45" s="172"/>
      <c r="N45" s="199"/>
      <c r="O45" s="187"/>
      <c r="P45" s="199"/>
      <c r="Q45" s="199"/>
      <c r="R45" s="172"/>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229"/>
      <c r="DH45" s="199"/>
      <c r="DI45" s="199"/>
      <c r="DJ45" s="235"/>
      <c r="DK45" s="199"/>
      <c r="DL45" s="199"/>
      <c r="DM45" s="199"/>
      <c r="DN45" s="199"/>
      <c r="DO45" s="199"/>
      <c r="DP45" s="235"/>
      <c r="DQ45" s="199"/>
      <c r="DR45" s="187"/>
      <c r="DS45" s="199"/>
      <c r="DT45" s="199"/>
      <c r="DU45" s="235"/>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229"/>
      <c r="FM45" s="187"/>
      <c r="FN45" s="199"/>
      <c r="FO45" s="199"/>
      <c r="FP45" s="199"/>
      <c r="FQ45" s="187"/>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229"/>
    </row>
    <row r="46" spans="1:210" ht="16" customHeight="1" thickTop="1">
      <c r="A46" s="59" t="s">
        <v>731</v>
      </c>
      <c r="B46" s="185">
        <v>0</v>
      </c>
      <c r="C46" s="170" t="s">
        <v>816</v>
      </c>
      <c r="D46" s="197">
        <v>0</v>
      </c>
      <c r="E46" s="170" t="s">
        <v>816</v>
      </c>
      <c r="F46" s="185">
        <v>0</v>
      </c>
      <c r="G46" s="170"/>
      <c r="H46" s="197">
        <v>0</v>
      </c>
      <c r="I46" s="197">
        <v>0</v>
      </c>
      <c r="J46" s="185">
        <v>0</v>
      </c>
      <c r="K46" s="170"/>
      <c r="L46" s="197">
        <v>0</v>
      </c>
      <c r="M46" s="170"/>
      <c r="N46" s="197">
        <v>0</v>
      </c>
      <c r="O46" s="185">
        <v>0</v>
      </c>
      <c r="P46" s="197">
        <v>0</v>
      </c>
      <c r="Q46" s="197">
        <v>0</v>
      </c>
      <c r="R46" s="170" t="s">
        <v>816</v>
      </c>
      <c r="S46" s="197">
        <v>0</v>
      </c>
      <c r="T46" s="197">
        <v>0</v>
      </c>
      <c r="U46" s="197">
        <v>0</v>
      </c>
      <c r="V46" s="197">
        <v>0</v>
      </c>
      <c r="W46" s="197">
        <v>0</v>
      </c>
      <c r="X46" s="197">
        <v>0</v>
      </c>
      <c r="Y46" s="197">
        <v>0</v>
      </c>
      <c r="Z46" s="197">
        <v>0</v>
      </c>
      <c r="AA46" s="197">
        <v>0</v>
      </c>
      <c r="AB46" s="197">
        <v>0</v>
      </c>
      <c r="AC46" s="197">
        <v>0</v>
      </c>
      <c r="AD46" s="197">
        <v>0</v>
      </c>
      <c r="AE46" s="197">
        <v>0</v>
      </c>
      <c r="AF46" s="197">
        <v>0</v>
      </c>
      <c r="AG46" s="197">
        <v>0</v>
      </c>
      <c r="AH46" s="197">
        <v>0</v>
      </c>
      <c r="AI46" s="197">
        <v>0</v>
      </c>
      <c r="AJ46" s="197">
        <v>0</v>
      </c>
      <c r="AK46" s="197">
        <v>0</v>
      </c>
      <c r="AL46" s="197">
        <v>0</v>
      </c>
      <c r="AM46" s="197">
        <v>0</v>
      </c>
      <c r="AN46" s="197">
        <v>0</v>
      </c>
      <c r="AO46" s="197">
        <v>0</v>
      </c>
      <c r="AP46" s="197">
        <v>0</v>
      </c>
      <c r="AQ46" s="197">
        <v>0</v>
      </c>
      <c r="AR46" s="197">
        <v>0</v>
      </c>
      <c r="AS46" s="197">
        <v>0</v>
      </c>
      <c r="AT46" s="197">
        <v>0</v>
      </c>
      <c r="AU46" s="197">
        <v>0</v>
      </c>
      <c r="AV46" s="197">
        <v>0</v>
      </c>
      <c r="AW46" s="197">
        <v>0</v>
      </c>
      <c r="AX46" s="197">
        <v>0</v>
      </c>
      <c r="AY46" s="197">
        <v>0</v>
      </c>
      <c r="AZ46" s="197">
        <v>0</v>
      </c>
      <c r="BA46" s="248">
        <v>0</v>
      </c>
      <c r="BB46" s="197">
        <v>0</v>
      </c>
      <c r="BC46" s="197">
        <v>0</v>
      </c>
      <c r="BD46" s="197">
        <v>0</v>
      </c>
      <c r="BE46" s="197">
        <v>0</v>
      </c>
      <c r="BF46" s="197">
        <v>0</v>
      </c>
      <c r="BG46" s="197">
        <v>0</v>
      </c>
      <c r="BH46" s="197">
        <v>0</v>
      </c>
      <c r="BI46" s="197">
        <v>0</v>
      </c>
      <c r="BJ46" s="197">
        <v>0</v>
      </c>
      <c r="BK46" s="197">
        <v>0</v>
      </c>
      <c r="BL46" s="197">
        <v>0</v>
      </c>
      <c r="BM46" s="197">
        <v>0</v>
      </c>
      <c r="BN46" s="197">
        <v>0</v>
      </c>
      <c r="BO46" s="197">
        <v>0</v>
      </c>
      <c r="BP46" s="197">
        <v>0</v>
      </c>
      <c r="BQ46" s="197">
        <v>0</v>
      </c>
      <c r="BR46" s="197">
        <v>0</v>
      </c>
      <c r="BS46" s="197">
        <v>0</v>
      </c>
      <c r="BT46" s="197">
        <v>0</v>
      </c>
      <c r="BU46" s="197">
        <v>0</v>
      </c>
      <c r="BV46" s="197">
        <v>0</v>
      </c>
      <c r="BW46" s="197">
        <v>0</v>
      </c>
      <c r="BX46" s="197">
        <v>0</v>
      </c>
      <c r="BY46" s="197">
        <v>0</v>
      </c>
      <c r="BZ46" s="197">
        <v>0</v>
      </c>
      <c r="CA46" s="197">
        <v>0</v>
      </c>
      <c r="CB46" s="197">
        <v>0</v>
      </c>
      <c r="CC46" s="197">
        <v>0</v>
      </c>
      <c r="CD46" s="197">
        <v>0</v>
      </c>
      <c r="CE46" s="197">
        <v>0</v>
      </c>
      <c r="CF46" s="197">
        <v>0</v>
      </c>
      <c r="CG46" s="197">
        <v>0</v>
      </c>
      <c r="CH46" s="197">
        <v>0</v>
      </c>
      <c r="CI46" s="197">
        <v>0</v>
      </c>
      <c r="CJ46" s="197">
        <v>0</v>
      </c>
      <c r="CK46" s="197">
        <v>0</v>
      </c>
      <c r="CL46" s="197">
        <v>0</v>
      </c>
      <c r="CM46" s="197">
        <v>0</v>
      </c>
      <c r="CN46" s="197">
        <v>0</v>
      </c>
      <c r="CO46" s="197">
        <v>0</v>
      </c>
      <c r="CP46" s="197">
        <v>0</v>
      </c>
      <c r="CQ46" s="197">
        <v>0</v>
      </c>
      <c r="CR46" s="197">
        <v>0</v>
      </c>
      <c r="CS46" s="197">
        <v>0</v>
      </c>
      <c r="CT46" s="197">
        <v>0</v>
      </c>
      <c r="CU46" s="197">
        <v>0</v>
      </c>
      <c r="CV46" s="197">
        <v>0</v>
      </c>
      <c r="CW46" s="197">
        <v>0</v>
      </c>
      <c r="CX46" s="197">
        <v>0</v>
      </c>
      <c r="CY46" s="197">
        <v>0</v>
      </c>
      <c r="CZ46" s="197">
        <v>0</v>
      </c>
      <c r="DA46" s="197">
        <v>0</v>
      </c>
      <c r="DB46" s="197">
        <v>0</v>
      </c>
      <c r="DC46" s="197">
        <v>0</v>
      </c>
      <c r="DD46" s="197">
        <v>0</v>
      </c>
      <c r="DE46" s="197">
        <v>0</v>
      </c>
      <c r="DF46" s="230">
        <v>0</v>
      </c>
      <c r="DG46" s="227">
        <f>+AVERAGE(B46:DF48)</f>
        <v>0</v>
      </c>
      <c r="DH46" s="197">
        <v>0</v>
      </c>
      <c r="DI46" s="185">
        <v>0</v>
      </c>
      <c r="DJ46" s="233"/>
      <c r="DK46" s="197">
        <v>0</v>
      </c>
      <c r="DL46" s="197">
        <v>0</v>
      </c>
      <c r="DM46" s="185">
        <v>0</v>
      </c>
      <c r="DN46" s="197">
        <v>0</v>
      </c>
      <c r="DO46" s="185">
        <v>0</v>
      </c>
      <c r="DP46" s="233"/>
      <c r="DQ46" s="197">
        <v>0</v>
      </c>
      <c r="DR46" s="185">
        <v>0</v>
      </c>
      <c r="DS46" s="197">
        <v>0</v>
      </c>
      <c r="DT46" s="197">
        <v>0</v>
      </c>
      <c r="DU46" s="233" t="s">
        <v>816</v>
      </c>
      <c r="DV46" s="197">
        <v>0</v>
      </c>
      <c r="DW46" s="197">
        <v>0</v>
      </c>
      <c r="DX46" s="197">
        <v>0</v>
      </c>
      <c r="DY46" s="197">
        <v>0</v>
      </c>
      <c r="DZ46" s="197">
        <v>0</v>
      </c>
      <c r="EA46" s="197">
        <v>0</v>
      </c>
      <c r="EB46" s="197">
        <v>0</v>
      </c>
      <c r="EC46" s="197">
        <v>0</v>
      </c>
      <c r="ED46" s="197">
        <v>0</v>
      </c>
      <c r="EE46" s="197">
        <v>0</v>
      </c>
      <c r="EF46" s="197">
        <v>0</v>
      </c>
      <c r="EG46" s="197">
        <v>0</v>
      </c>
      <c r="EH46" s="197">
        <v>0</v>
      </c>
      <c r="EI46" s="197">
        <v>0</v>
      </c>
      <c r="EJ46" s="197">
        <v>0</v>
      </c>
      <c r="EK46" s="197">
        <v>0</v>
      </c>
      <c r="EL46" s="197">
        <v>0</v>
      </c>
      <c r="EM46" s="197">
        <v>0</v>
      </c>
      <c r="EN46" s="197">
        <v>0</v>
      </c>
      <c r="EO46" s="197">
        <v>0</v>
      </c>
      <c r="EP46" s="197">
        <v>0</v>
      </c>
      <c r="EQ46" s="197">
        <v>0</v>
      </c>
      <c r="ER46" s="197">
        <v>0</v>
      </c>
      <c r="ES46" s="197">
        <v>0</v>
      </c>
      <c r="ET46" s="197">
        <v>0</v>
      </c>
      <c r="EU46" s="197">
        <v>0</v>
      </c>
      <c r="EV46" s="197">
        <v>0</v>
      </c>
      <c r="EW46" s="197">
        <v>0</v>
      </c>
      <c r="EX46" s="197">
        <v>0</v>
      </c>
      <c r="EY46" s="197">
        <v>0</v>
      </c>
      <c r="EZ46" s="197">
        <v>0</v>
      </c>
      <c r="FA46" s="197">
        <v>0</v>
      </c>
      <c r="FB46" s="197">
        <v>0</v>
      </c>
      <c r="FC46" s="197">
        <v>0</v>
      </c>
      <c r="FD46" s="197">
        <v>0</v>
      </c>
      <c r="FE46" s="197">
        <v>0</v>
      </c>
      <c r="FF46" s="197">
        <v>0</v>
      </c>
      <c r="FG46" s="197">
        <v>0</v>
      </c>
      <c r="FH46" s="197">
        <v>0</v>
      </c>
      <c r="FI46" s="197">
        <v>0</v>
      </c>
      <c r="FJ46" s="197">
        <v>0</v>
      </c>
      <c r="FK46" s="197">
        <v>0</v>
      </c>
      <c r="FL46" s="227">
        <f>+AVERAGE(DH46:FK48)</f>
        <v>0</v>
      </c>
      <c r="FM46" s="185">
        <v>0</v>
      </c>
      <c r="FN46" s="197">
        <v>0</v>
      </c>
      <c r="FO46" s="197">
        <v>0</v>
      </c>
      <c r="FP46" s="197">
        <v>0</v>
      </c>
      <c r="FQ46" s="185">
        <v>0</v>
      </c>
      <c r="FR46" s="197">
        <v>0</v>
      </c>
      <c r="FS46" s="197">
        <v>0</v>
      </c>
      <c r="FT46" s="197">
        <v>0</v>
      </c>
      <c r="FU46" s="197">
        <v>0</v>
      </c>
      <c r="FV46" s="197">
        <v>0</v>
      </c>
      <c r="FW46" s="197">
        <v>0</v>
      </c>
      <c r="FX46" s="197">
        <v>0</v>
      </c>
      <c r="FY46" s="197">
        <v>0</v>
      </c>
      <c r="FZ46" s="197">
        <v>0</v>
      </c>
      <c r="GA46" s="197">
        <v>0</v>
      </c>
      <c r="GB46" s="197">
        <v>0</v>
      </c>
      <c r="GC46" s="197">
        <v>0</v>
      </c>
      <c r="GD46" s="197">
        <v>0</v>
      </c>
      <c r="GE46" s="197">
        <v>0</v>
      </c>
      <c r="GF46" s="197">
        <v>0</v>
      </c>
      <c r="GG46" s="197">
        <v>0</v>
      </c>
      <c r="GH46" s="197">
        <v>0</v>
      </c>
      <c r="GI46" s="197">
        <v>0</v>
      </c>
      <c r="GJ46" s="197">
        <v>0</v>
      </c>
      <c r="GK46" s="197">
        <v>0</v>
      </c>
      <c r="GL46" s="197">
        <v>0</v>
      </c>
      <c r="GM46" s="197">
        <v>0</v>
      </c>
      <c r="GN46" s="197">
        <v>0</v>
      </c>
      <c r="GO46" s="197">
        <v>0</v>
      </c>
      <c r="GP46" s="197">
        <v>0</v>
      </c>
      <c r="GQ46" s="197">
        <v>0</v>
      </c>
      <c r="GR46" s="197">
        <v>0</v>
      </c>
      <c r="GS46" s="197">
        <v>0</v>
      </c>
      <c r="GT46" s="197">
        <v>0</v>
      </c>
      <c r="GU46" s="197">
        <v>0</v>
      </c>
      <c r="GV46" s="197">
        <v>0</v>
      </c>
      <c r="GW46" s="197">
        <v>0</v>
      </c>
      <c r="GX46" s="197">
        <v>0</v>
      </c>
      <c r="GY46" s="197">
        <v>0</v>
      </c>
      <c r="GZ46" s="197">
        <v>0</v>
      </c>
      <c r="HA46" s="197">
        <v>0</v>
      </c>
      <c r="HB46" s="227">
        <f t="shared" ref="HB46" si="10">+AVERAGE(FM46:HA48)</f>
        <v>0</v>
      </c>
    </row>
    <row r="47" spans="1:210" ht="15" customHeight="1">
      <c r="A47" s="58"/>
      <c r="B47" s="186"/>
      <c r="C47" s="171"/>
      <c r="D47" s="198"/>
      <c r="E47" s="171"/>
      <c r="F47" s="186"/>
      <c r="G47" s="171"/>
      <c r="H47" s="198"/>
      <c r="I47" s="198"/>
      <c r="J47" s="186"/>
      <c r="K47" s="171"/>
      <c r="L47" s="198"/>
      <c r="M47" s="171"/>
      <c r="N47" s="198"/>
      <c r="O47" s="186"/>
      <c r="P47" s="198"/>
      <c r="Q47" s="198"/>
      <c r="R47" s="171"/>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231"/>
      <c r="DG47" s="228"/>
      <c r="DH47" s="198"/>
      <c r="DI47" s="186"/>
      <c r="DJ47" s="234"/>
      <c r="DK47" s="198"/>
      <c r="DL47" s="198"/>
      <c r="DM47" s="186"/>
      <c r="DN47" s="198"/>
      <c r="DO47" s="186"/>
      <c r="DP47" s="234"/>
      <c r="DQ47" s="198"/>
      <c r="DR47" s="186"/>
      <c r="DS47" s="198"/>
      <c r="DT47" s="198"/>
      <c r="DU47" s="234"/>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228"/>
      <c r="FM47" s="186"/>
      <c r="FN47" s="198"/>
      <c r="FO47" s="198"/>
      <c r="FP47" s="198"/>
      <c r="FQ47" s="186"/>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228"/>
    </row>
    <row r="48" spans="1:210" ht="16" customHeight="1" thickBot="1">
      <c r="A48" s="64" t="s">
        <v>730</v>
      </c>
      <c r="B48" s="187"/>
      <c r="C48" s="172"/>
      <c r="D48" s="199"/>
      <c r="E48" s="172"/>
      <c r="F48" s="187"/>
      <c r="G48" s="172"/>
      <c r="H48" s="199"/>
      <c r="I48" s="199"/>
      <c r="J48" s="187"/>
      <c r="K48" s="172"/>
      <c r="L48" s="199"/>
      <c r="M48" s="172"/>
      <c r="N48" s="199"/>
      <c r="O48" s="187"/>
      <c r="P48" s="199"/>
      <c r="Q48" s="199"/>
      <c r="R48" s="172"/>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232"/>
      <c r="DG48" s="229"/>
      <c r="DH48" s="199"/>
      <c r="DI48" s="187"/>
      <c r="DJ48" s="235"/>
      <c r="DK48" s="199"/>
      <c r="DL48" s="199"/>
      <c r="DM48" s="187"/>
      <c r="DN48" s="199"/>
      <c r="DO48" s="187"/>
      <c r="DP48" s="235"/>
      <c r="DQ48" s="199"/>
      <c r="DR48" s="187"/>
      <c r="DS48" s="199"/>
      <c r="DT48" s="199"/>
      <c r="DU48" s="235"/>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229"/>
      <c r="FM48" s="187"/>
      <c r="FN48" s="199"/>
      <c r="FO48" s="199"/>
      <c r="FP48" s="199"/>
      <c r="FQ48" s="187"/>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229"/>
    </row>
    <row r="49" spans="1:210" ht="16" customHeight="1" thickTop="1">
      <c r="A49" s="59" t="s">
        <v>729</v>
      </c>
      <c r="B49" s="185">
        <v>0</v>
      </c>
      <c r="C49" s="167"/>
      <c r="D49" s="197">
        <v>0</v>
      </c>
      <c r="E49" s="167"/>
      <c r="F49" s="185">
        <v>0</v>
      </c>
      <c r="G49" s="167"/>
      <c r="H49" s="197">
        <v>0</v>
      </c>
      <c r="I49" s="197">
        <v>0</v>
      </c>
      <c r="J49" s="185">
        <v>0</v>
      </c>
      <c r="K49" s="167"/>
      <c r="L49" s="197">
        <v>0</v>
      </c>
      <c r="M49" s="167"/>
      <c r="N49" s="197">
        <v>0</v>
      </c>
      <c r="O49" s="185">
        <v>0</v>
      </c>
      <c r="P49" s="197">
        <v>0</v>
      </c>
      <c r="Q49" s="197">
        <v>0</v>
      </c>
      <c r="R49" s="170" t="s">
        <v>817</v>
      </c>
      <c r="S49" s="197">
        <v>0</v>
      </c>
      <c r="T49" s="197">
        <v>0</v>
      </c>
      <c r="U49" s="197">
        <v>0</v>
      </c>
      <c r="V49" s="197">
        <v>0</v>
      </c>
      <c r="W49" s="197">
        <v>0</v>
      </c>
      <c r="X49" s="197">
        <v>0</v>
      </c>
      <c r="Y49" s="197">
        <v>0</v>
      </c>
      <c r="Z49" s="197">
        <v>0</v>
      </c>
      <c r="AA49" s="197">
        <v>0</v>
      </c>
      <c r="AB49" s="197">
        <v>0</v>
      </c>
      <c r="AC49" s="197">
        <v>0</v>
      </c>
      <c r="AD49" s="197">
        <v>0</v>
      </c>
      <c r="AE49" s="197">
        <v>0</v>
      </c>
      <c r="AF49" s="197">
        <v>0</v>
      </c>
      <c r="AG49" s="197">
        <v>0</v>
      </c>
      <c r="AH49" s="197">
        <v>0</v>
      </c>
      <c r="AI49" s="197">
        <v>0</v>
      </c>
      <c r="AJ49" s="197">
        <v>0</v>
      </c>
      <c r="AK49" s="197">
        <v>0</v>
      </c>
      <c r="AL49" s="197">
        <v>0</v>
      </c>
      <c r="AM49" s="197">
        <v>0</v>
      </c>
      <c r="AN49" s="197">
        <v>0</v>
      </c>
      <c r="AO49" s="197">
        <v>0</v>
      </c>
      <c r="AP49" s="197">
        <v>0</v>
      </c>
      <c r="AQ49" s="197">
        <v>0</v>
      </c>
      <c r="AR49" s="197">
        <v>0</v>
      </c>
      <c r="AS49" s="197">
        <v>0</v>
      </c>
      <c r="AT49" s="197">
        <v>0</v>
      </c>
      <c r="AU49" s="197">
        <v>0</v>
      </c>
      <c r="AV49" s="197">
        <v>0</v>
      </c>
      <c r="AW49" s="197">
        <v>0</v>
      </c>
      <c r="AX49" s="197">
        <v>0</v>
      </c>
      <c r="AY49" s="197">
        <v>0</v>
      </c>
      <c r="AZ49" s="197">
        <v>0</v>
      </c>
      <c r="BA49" s="197">
        <v>0</v>
      </c>
      <c r="BB49" s="197">
        <v>0</v>
      </c>
      <c r="BC49" s="197">
        <v>0</v>
      </c>
      <c r="BD49" s="197">
        <v>0</v>
      </c>
      <c r="BE49" s="197">
        <v>0</v>
      </c>
      <c r="BF49" s="197">
        <v>0</v>
      </c>
      <c r="BG49" s="197">
        <v>0</v>
      </c>
      <c r="BH49" s="197">
        <v>0</v>
      </c>
      <c r="BI49" s="197">
        <v>0</v>
      </c>
      <c r="BJ49" s="197">
        <v>0</v>
      </c>
      <c r="BK49" s="197">
        <v>0</v>
      </c>
      <c r="BL49" s="197">
        <v>0</v>
      </c>
      <c r="BM49" s="197">
        <v>0</v>
      </c>
      <c r="BN49" s="197">
        <v>0</v>
      </c>
      <c r="BO49" s="197">
        <v>0</v>
      </c>
      <c r="BP49" s="197">
        <v>0</v>
      </c>
      <c r="BQ49" s="197">
        <v>0</v>
      </c>
      <c r="BR49" s="197">
        <v>0</v>
      </c>
      <c r="BS49" s="197">
        <v>0</v>
      </c>
      <c r="BT49" s="197">
        <v>0</v>
      </c>
      <c r="BU49" s="197">
        <v>0</v>
      </c>
      <c r="BV49" s="197">
        <v>0</v>
      </c>
      <c r="BW49" s="197">
        <v>0</v>
      </c>
      <c r="BX49" s="197">
        <v>0</v>
      </c>
      <c r="BY49" s="197">
        <v>0</v>
      </c>
      <c r="BZ49" s="197">
        <v>0</v>
      </c>
      <c r="CA49" s="197">
        <v>0</v>
      </c>
      <c r="CB49" s="197">
        <v>0</v>
      </c>
      <c r="CC49" s="197">
        <v>0</v>
      </c>
      <c r="CD49" s="197">
        <v>0</v>
      </c>
      <c r="CE49" s="197">
        <v>0</v>
      </c>
      <c r="CF49" s="197">
        <v>0</v>
      </c>
      <c r="CG49" s="197">
        <v>0</v>
      </c>
      <c r="CH49" s="197">
        <v>0</v>
      </c>
      <c r="CI49" s="197">
        <v>0</v>
      </c>
      <c r="CJ49" s="197">
        <v>0</v>
      </c>
      <c r="CK49" s="197">
        <v>0</v>
      </c>
      <c r="CL49" s="197">
        <v>0</v>
      </c>
      <c r="CM49" s="197">
        <v>0</v>
      </c>
      <c r="CN49" s="197">
        <v>0</v>
      </c>
      <c r="CO49" s="197">
        <v>0</v>
      </c>
      <c r="CP49" s="197">
        <v>0</v>
      </c>
      <c r="CQ49" s="197">
        <v>0</v>
      </c>
      <c r="CR49" s="197">
        <v>0</v>
      </c>
      <c r="CS49" s="197">
        <v>0</v>
      </c>
      <c r="CT49" s="197">
        <v>0</v>
      </c>
      <c r="CU49" s="197">
        <v>0</v>
      </c>
      <c r="CV49" s="197">
        <v>0</v>
      </c>
      <c r="CW49" s="197">
        <v>0</v>
      </c>
      <c r="CX49" s="197">
        <v>0</v>
      </c>
      <c r="CY49" s="197">
        <v>0</v>
      </c>
      <c r="CZ49" s="197">
        <v>0</v>
      </c>
      <c r="DA49" s="197">
        <v>0</v>
      </c>
      <c r="DB49" s="197">
        <v>0</v>
      </c>
      <c r="DC49" s="197">
        <v>0</v>
      </c>
      <c r="DD49" s="197">
        <v>0</v>
      </c>
      <c r="DE49" s="197">
        <v>0</v>
      </c>
      <c r="DF49" s="230">
        <v>0</v>
      </c>
      <c r="DG49" s="227">
        <f>+AVERAGE(B49:DF51)</f>
        <v>0</v>
      </c>
      <c r="DH49" s="197">
        <v>0</v>
      </c>
      <c r="DI49" s="185">
        <v>0</v>
      </c>
      <c r="DJ49" s="203"/>
      <c r="DK49" s="197">
        <v>0</v>
      </c>
      <c r="DL49" s="197">
        <v>0</v>
      </c>
      <c r="DM49" s="185">
        <v>0</v>
      </c>
      <c r="DN49" s="197">
        <v>0</v>
      </c>
      <c r="DO49" s="185">
        <v>0</v>
      </c>
      <c r="DP49" s="203"/>
      <c r="DQ49" s="197">
        <v>0</v>
      </c>
      <c r="DR49" s="185">
        <v>0</v>
      </c>
      <c r="DS49" s="197">
        <v>0</v>
      </c>
      <c r="DT49" s="197">
        <v>0</v>
      </c>
      <c r="DU49" s="233" t="s">
        <v>817</v>
      </c>
      <c r="DV49" s="197">
        <v>0</v>
      </c>
      <c r="DW49" s="197">
        <v>0</v>
      </c>
      <c r="DX49" s="197">
        <v>0</v>
      </c>
      <c r="DY49" s="197">
        <v>0</v>
      </c>
      <c r="DZ49" s="197">
        <v>0</v>
      </c>
      <c r="EA49" s="197">
        <v>0</v>
      </c>
      <c r="EB49" s="197">
        <v>0</v>
      </c>
      <c r="EC49" s="197">
        <v>0</v>
      </c>
      <c r="ED49" s="197">
        <v>0</v>
      </c>
      <c r="EE49" s="197">
        <v>0</v>
      </c>
      <c r="EF49" s="197">
        <v>0</v>
      </c>
      <c r="EG49" s="197">
        <v>0</v>
      </c>
      <c r="EH49" s="197">
        <v>0</v>
      </c>
      <c r="EI49" s="197">
        <v>0</v>
      </c>
      <c r="EJ49" s="197">
        <v>0</v>
      </c>
      <c r="EK49" s="197">
        <v>0</v>
      </c>
      <c r="EL49" s="197">
        <v>0</v>
      </c>
      <c r="EM49" s="197">
        <v>0</v>
      </c>
      <c r="EN49" s="197">
        <v>0</v>
      </c>
      <c r="EO49" s="197">
        <v>0</v>
      </c>
      <c r="EP49" s="197">
        <v>0</v>
      </c>
      <c r="EQ49" s="197">
        <v>0</v>
      </c>
      <c r="ER49" s="197">
        <v>0</v>
      </c>
      <c r="ES49" s="197">
        <v>0</v>
      </c>
      <c r="ET49" s="197">
        <v>0</v>
      </c>
      <c r="EU49" s="197">
        <v>0</v>
      </c>
      <c r="EV49" s="197">
        <v>0</v>
      </c>
      <c r="EW49" s="197">
        <v>0</v>
      </c>
      <c r="EX49" s="197">
        <v>0</v>
      </c>
      <c r="EY49" s="197">
        <v>0</v>
      </c>
      <c r="EZ49" s="197">
        <v>0</v>
      </c>
      <c r="FA49" s="197">
        <v>0</v>
      </c>
      <c r="FB49" s="197">
        <v>0</v>
      </c>
      <c r="FC49" s="197">
        <v>0</v>
      </c>
      <c r="FD49" s="197">
        <v>0</v>
      </c>
      <c r="FE49" s="197">
        <v>0</v>
      </c>
      <c r="FF49" s="197">
        <v>0</v>
      </c>
      <c r="FG49" s="197">
        <v>0</v>
      </c>
      <c r="FH49" s="197">
        <v>0</v>
      </c>
      <c r="FI49" s="197">
        <v>0</v>
      </c>
      <c r="FJ49" s="197">
        <v>0</v>
      </c>
      <c r="FK49" s="197">
        <v>0</v>
      </c>
      <c r="FL49" s="227">
        <f>+AVERAGE(DH49:FK51)</f>
        <v>0</v>
      </c>
      <c r="FM49" s="185">
        <v>0</v>
      </c>
      <c r="FN49" s="197">
        <v>0</v>
      </c>
      <c r="FO49" s="197">
        <v>0</v>
      </c>
      <c r="FP49" s="197">
        <v>0</v>
      </c>
      <c r="FQ49" s="185">
        <v>0</v>
      </c>
      <c r="FR49" s="197">
        <v>0</v>
      </c>
      <c r="FS49" s="197">
        <v>0</v>
      </c>
      <c r="FT49" s="197">
        <v>0</v>
      </c>
      <c r="FU49" s="197">
        <v>0</v>
      </c>
      <c r="FV49" s="197">
        <v>0</v>
      </c>
      <c r="FW49" s="197">
        <v>0</v>
      </c>
      <c r="FX49" s="197">
        <v>0</v>
      </c>
      <c r="FY49" s="197">
        <v>0</v>
      </c>
      <c r="FZ49" s="197">
        <v>0</v>
      </c>
      <c r="GA49" s="197">
        <v>0</v>
      </c>
      <c r="GB49" s="197">
        <v>0</v>
      </c>
      <c r="GC49" s="197">
        <v>0</v>
      </c>
      <c r="GD49" s="197">
        <v>0</v>
      </c>
      <c r="GE49" s="197">
        <v>0</v>
      </c>
      <c r="GF49" s="197">
        <v>0</v>
      </c>
      <c r="GG49" s="197">
        <v>0</v>
      </c>
      <c r="GH49" s="197">
        <v>0</v>
      </c>
      <c r="GI49" s="197">
        <v>0</v>
      </c>
      <c r="GJ49" s="197">
        <v>0</v>
      </c>
      <c r="GK49" s="197">
        <v>0</v>
      </c>
      <c r="GL49" s="197">
        <v>0</v>
      </c>
      <c r="GM49" s="197">
        <v>0</v>
      </c>
      <c r="GN49" s="197">
        <v>0</v>
      </c>
      <c r="GO49" s="197">
        <v>0</v>
      </c>
      <c r="GP49" s="197">
        <v>0</v>
      </c>
      <c r="GQ49" s="197">
        <v>0</v>
      </c>
      <c r="GR49" s="197">
        <v>0</v>
      </c>
      <c r="GS49" s="197">
        <v>0</v>
      </c>
      <c r="GT49" s="197">
        <v>0</v>
      </c>
      <c r="GU49" s="197">
        <v>0</v>
      </c>
      <c r="GV49" s="197">
        <v>0</v>
      </c>
      <c r="GW49" s="197">
        <v>0</v>
      </c>
      <c r="GX49" s="197">
        <v>0</v>
      </c>
      <c r="GY49" s="197">
        <v>0</v>
      </c>
      <c r="GZ49" s="197">
        <v>0</v>
      </c>
      <c r="HA49" s="197">
        <v>0</v>
      </c>
      <c r="HB49" s="227">
        <f t="shared" ref="HB49" si="11">+AVERAGE(FM49:HA51)</f>
        <v>0</v>
      </c>
    </row>
    <row r="50" spans="1:210" ht="15" customHeight="1">
      <c r="A50" s="60"/>
      <c r="B50" s="186"/>
      <c r="C50" s="168"/>
      <c r="D50" s="198"/>
      <c r="E50" s="168"/>
      <c r="F50" s="186"/>
      <c r="G50" s="168"/>
      <c r="H50" s="198"/>
      <c r="I50" s="198"/>
      <c r="J50" s="186"/>
      <c r="K50" s="168"/>
      <c r="L50" s="198"/>
      <c r="M50" s="168"/>
      <c r="N50" s="198"/>
      <c r="O50" s="186"/>
      <c r="P50" s="198"/>
      <c r="Q50" s="198"/>
      <c r="R50" s="171"/>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231"/>
      <c r="DG50" s="228"/>
      <c r="DH50" s="198"/>
      <c r="DI50" s="186"/>
      <c r="DJ50" s="204"/>
      <c r="DK50" s="198"/>
      <c r="DL50" s="198"/>
      <c r="DM50" s="186"/>
      <c r="DN50" s="198"/>
      <c r="DO50" s="186"/>
      <c r="DP50" s="204"/>
      <c r="DQ50" s="198"/>
      <c r="DR50" s="186"/>
      <c r="DS50" s="198"/>
      <c r="DT50" s="198"/>
      <c r="DU50" s="234"/>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228"/>
      <c r="FM50" s="186"/>
      <c r="FN50" s="198"/>
      <c r="FO50" s="198"/>
      <c r="FP50" s="198"/>
      <c r="FQ50" s="186"/>
      <c r="FR50" s="198"/>
      <c r="FS50" s="198"/>
      <c r="FT50" s="198"/>
      <c r="FU50" s="198"/>
      <c r="FV50" s="198"/>
      <c r="FW50" s="198"/>
      <c r="FX50" s="198"/>
      <c r="FY50" s="198"/>
      <c r="FZ50" s="198"/>
      <c r="GA50" s="198"/>
      <c r="GB50" s="198"/>
      <c r="GC50" s="198"/>
      <c r="GD50" s="198"/>
      <c r="GE50" s="198"/>
      <c r="GF50" s="198"/>
      <c r="GG50" s="198"/>
      <c r="GH50" s="198"/>
      <c r="GI50" s="198"/>
      <c r="GJ50" s="198"/>
      <c r="GK50" s="198"/>
      <c r="GL50" s="198"/>
      <c r="GM50" s="198"/>
      <c r="GN50" s="198"/>
      <c r="GO50" s="198"/>
      <c r="GP50" s="198"/>
      <c r="GQ50" s="198"/>
      <c r="GR50" s="198"/>
      <c r="GS50" s="198"/>
      <c r="GT50" s="198"/>
      <c r="GU50" s="198"/>
      <c r="GV50" s="198"/>
      <c r="GW50" s="198"/>
      <c r="GX50" s="198"/>
      <c r="GY50" s="198"/>
      <c r="GZ50" s="198"/>
      <c r="HA50" s="198"/>
      <c r="HB50" s="228"/>
    </row>
    <row r="51" spans="1:210" ht="85" thickBot="1">
      <c r="A51" s="57" t="s">
        <v>728</v>
      </c>
      <c r="B51" s="187"/>
      <c r="C51" s="169"/>
      <c r="D51" s="199"/>
      <c r="E51" s="169"/>
      <c r="F51" s="187"/>
      <c r="G51" s="169"/>
      <c r="H51" s="199"/>
      <c r="I51" s="199"/>
      <c r="J51" s="187"/>
      <c r="K51" s="169"/>
      <c r="L51" s="199"/>
      <c r="M51" s="169"/>
      <c r="N51" s="199"/>
      <c r="O51" s="187"/>
      <c r="P51" s="199"/>
      <c r="Q51" s="199"/>
      <c r="R51" s="172"/>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232"/>
      <c r="DG51" s="229"/>
      <c r="DH51" s="199"/>
      <c r="DI51" s="187"/>
      <c r="DJ51" s="205"/>
      <c r="DK51" s="199"/>
      <c r="DL51" s="199"/>
      <c r="DM51" s="187"/>
      <c r="DN51" s="199"/>
      <c r="DO51" s="187"/>
      <c r="DP51" s="205"/>
      <c r="DQ51" s="199"/>
      <c r="DR51" s="187"/>
      <c r="DS51" s="199"/>
      <c r="DT51" s="199"/>
      <c r="DU51" s="235"/>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229"/>
      <c r="FM51" s="187"/>
      <c r="FN51" s="199"/>
      <c r="FO51" s="199"/>
      <c r="FP51" s="199"/>
      <c r="FQ51" s="187"/>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229"/>
    </row>
    <row r="52" spans="1:210" ht="16" customHeight="1" thickTop="1">
      <c r="A52" s="59" t="s">
        <v>727</v>
      </c>
      <c r="B52" s="185">
        <v>0</v>
      </c>
      <c r="C52" s="167" t="s">
        <v>842</v>
      </c>
      <c r="D52" s="197">
        <v>0</v>
      </c>
      <c r="E52" s="167" t="s">
        <v>842</v>
      </c>
      <c r="F52" s="185">
        <v>0</v>
      </c>
      <c r="G52" s="167"/>
      <c r="H52" s="197">
        <v>0</v>
      </c>
      <c r="I52" s="197">
        <v>0</v>
      </c>
      <c r="J52" s="185">
        <v>0</v>
      </c>
      <c r="K52" s="167"/>
      <c r="L52" s="197">
        <v>0</v>
      </c>
      <c r="M52" s="167"/>
      <c r="N52" s="197">
        <v>0</v>
      </c>
      <c r="O52" s="185">
        <v>0</v>
      </c>
      <c r="P52" s="197">
        <v>0</v>
      </c>
      <c r="Q52" s="197">
        <v>0</v>
      </c>
      <c r="R52" s="170" t="s">
        <v>818</v>
      </c>
      <c r="S52" s="197">
        <v>0</v>
      </c>
      <c r="T52" s="197">
        <v>0</v>
      </c>
      <c r="U52" s="197">
        <v>0</v>
      </c>
      <c r="V52" s="197">
        <v>0</v>
      </c>
      <c r="W52" s="197">
        <v>0</v>
      </c>
      <c r="X52" s="197">
        <v>0</v>
      </c>
      <c r="Y52" s="197">
        <v>0</v>
      </c>
      <c r="Z52" s="197">
        <v>0</v>
      </c>
      <c r="AA52" s="197">
        <v>0</v>
      </c>
      <c r="AB52" s="197">
        <v>0</v>
      </c>
      <c r="AC52" s="197">
        <v>0</v>
      </c>
      <c r="AD52" s="197">
        <v>0</v>
      </c>
      <c r="AE52" s="197">
        <v>0</v>
      </c>
      <c r="AF52" s="197">
        <v>0</v>
      </c>
      <c r="AG52" s="197">
        <v>0</v>
      </c>
      <c r="AH52" s="197">
        <v>0</v>
      </c>
      <c r="AI52" s="197">
        <v>0</v>
      </c>
      <c r="AJ52" s="197">
        <v>0</v>
      </c>
      <c r="AK52" s="197">
        <v>0</v>
      </c>
      <c r="AL52" s="197">
        <v>0</v>
      </c>
      <c r="AM52" s="197">
        <v>0</v>
      </c>
      <c r="AN52" s="197">
        <v>0</v>
      </c>
      <c r="AO52" s="197">
        <v>0</v>
      </c>
      <c r="AP52" s="197">
        <v>0</v>
      </c>
      <c r="AQ52" s="197">
        <v>0</v>
      </c>
      <c r="AR52" s="197">
        <v>0</v>
      </c>
      <c r="AS52" s="197">
        <v>0</v>
      </c>
      <c r="AT52" s="197">
        <v>0</v>
      </c>
      <c r="AU52" s="197">
        <v>0</v>
      </c>
      <c r="AV52" s="197">
        <v>0</v>
      </c>
      <c r="AW52" s="197">
        <v>0</v>
      </c>
      <c r="AX52" s="197">
        <v>0</v>
      </c>
      <c r="AY52" s="197">
        <v>0</v>
      </c>
      <c r="AZ52" s="197">
        <v>0</v>
      </c>
      <c r="BA52" s="197">
        <v>0</v>
      </c>
      <c r="BB52" s="197">
        <v>0</v>
      </c>
      <c r="BC52" s="197">
        <v>0</v>
      </c>
      <c r="BD52" s="197">
        <v>0</v>
      </c>
      <c r="BE52" s="197">
        <v>0</v>
      </c>
      <c r="BF52" s="197">
        <v>0</v>
      </c>
      <c r="BG52" s="197">
        <v>0</v>
      </c>
      <c r="BH52" s="197">
        <v>0</v>
      </c>
      <c r="BI52" s="197">
        <v>0</v>
      </c>
      <c r="BJ52" s="197">
        <v>0</v>
      </c>
      <c r="BK52" s="197">
        <v>0</v>
      </c>
      <c r="BL52" s="197">
        <v>0</v>
      </c>
      <c r="BM52" s="197">
        <v>0</v>
      </c>
      <c r="BN52" s="197">
        <v>0</v>
      </c>
      <c r="BO52" s="197">
        <v>0</v>
      </c>
      <c r="BP52" s="197">
        <v>0</v>
      </c>
      <c r="BQ52" s="197">
        <v>0</v>
      </c>
      <c r="BR52" s="197">
        <v>0</v>
      </c>
      <c r="BS52" s="197">
        <v>0</v>
      </c>
      <c r="BT52" s="197">
        <v>0</v>
      </c>
      <c r="BU52" s="197">
        <v>0</v>
      </c>
      <c r="BV52" s="197">
        <v>0</v>
      </c>
      <c r="BW52" s="197">
        <v>0</v>
      </c>
      <c r="BX52" s="197">
        <v>0</v>
      </c>
      <c r="BY52" s="197">
        <v>0</v>
      </c>
      <c r="BZ52" s="197">
        <v>0</v>
      </c>
      <c r="CA52" s="197">
        <v>0</v>
      </c>
      <c r="CB52" s="197">
        <v>0</v>
      </c>
      <c r="CC52" s="197">
        <v>0</v>
      </c>
      <c r="CD52" s="197">
        <v>0</v>
      </c>
      <c r="CE52" s="197">
        <v>0</v>
      </c>
      <c r="CF52" s="197">
        <v>0</v>
      </c>
      <c r="CG52" s="197">
        <v>0</v>
      </c>
      <c r="CH52" s="197">
        <v>0</v>
      </c>
      <c r="CI52" s="197">
        <v>0</v>
      </c>
      <c r="CJ52" s="197">
        <v>0</v>
      </c>
      <c r="CK52" s="197">
        <v>0</v>
      </c>
      <c r="CL52" s="197">
        <v>0</v>
      </c>
      <c r="CM52" s="197">
        <v>0</v>
      </c>
      <c r="CN52" s="197">
        <v>0</v>
      </c>
      <c r="CO52" s="197">
        <v>0</v>
      </c>
      <c r="CP52" s="197">
        <v>0</v>
      </c>
      <c r="CQ52" s="197">
        <v>0</v>
      </c>
      <c r="CR52" s="197">
        <v>0</v>
      </c>
      <c r="CS52" s="197">
        <v>0</v>
      </c>
      <c r="CT52" s="197">
        <v>0</v>
      </c>
      <c r="CU52" s="197">
        <v>0</v>
      </c>
      <c r="CV52" s="197">
        <v>0</v>
      </c>
      <c r="CW52" s="197">
        <v>0</v>
      </c>
      <c r="CX52" s="197">
        <v>0</v>
      </c>
      <c r="CY52" s="197">
        <v>0</v>
      </c>
      <c r="CZ52" s="197">
        <v>0</v>
      </c>
      <c r="DA52" s="197">
        <v>0</v>
      </c>
      <c r="DB52" s="197">
        <v>0</v>
      </c>
      <c r="DC52" s="197">
        <v>0</v>
      </c>
      <c r="DD52" s="197">
        <v>0</v>
      </c>
      <c r="DE52" s="197">
        <v>0</v>
      </c>
      <c r="DF52" s="230">
        <v>0</v>
      </c>
      <c r="DG52" s="227">
        <f>+AVERAGE(B52:DF54)</f>
        <v>0</v>
      </c>
      <c r="DH52" s="197">
        <v>0</v>
      </c>
      <c r="DI52" s="185">
        <v>0</v>
      </c>
      <c r="DJ52" s="203"/>
      <c r="DK52" s="197">
        <v>0</v>
      </c>
      <c r="DL52" s="197">
        <v>0</v>
      </c>
      <c r="DM52" s="185">
        <v>0</v>
      </c>
      <c r="DN52" s="197">
        <v>0</v>
      </c>
      <c r="DO52" s="185">
        <v>0</v>
      </c>
      <c r="DP52" s="203"/>
      <c r="DQ52" s="197">
        <v>0</v>
      </c>
      <c r="DR52" s="185">
        <v>0</v>
      </c>
      <c r="DS52" s="197">
        <v>0</v>
      </c>
      <c r="DT52" s="197">
        <v>0</v>
      </c>
      <c r="DU52" s="233" t="s">
        <v>818</v>
      </c>
      <c r="DV52" s="197">
        <v>0</v>
      </c>
      <c r="DW52" s="197">
        <v>0</v>
      </c>
      <c r="DX52" s="197">
        <v>1</v>
      </c>
      <c r="DY52" s="197">
        <v>0</v>
      </c>
      <c r="DZ52" s="197">
        <v>0</v>
      </c>
      <c r="EA52" s="197">
        <v>0</v>
      </c>
      <c r="EB52" s="197">
        <v>0</v>
      </c>
      <c r="EC52" s="197">
        <v>0</v>
      </c>
      <c r="ED52" s="197">
        <v>0</v>
      </c>
      <c r="EE52" s="197">
        <v>0</v>
      </c>
      <c r="EF52" s="197">
        <v>0</v>
      </c>
      <c r="EG52" s="197">
        <v>0</v>
      </c>
      <c r="EH52" s="197">
        <v>0</v>
      </c>
      <c r="EI52" s="197">
        <v>0</v>
      </c>
      <c r="EJ52" s="197">
        <v>0</v>
      </c>
      <c r="EK52" s="197">
        <v>0</v>
      </c>
      <c r="EL52" s="197">
        <v>0</v>
      </c>
      <c r="EM52" s="197">
        <v>0</v>
      </c>
      <c r="EN52" s="197">
        <v>0</v>
      </c>
      <c r="EO52" s="197">
        <v>0</v>
      </c>
      <c r="EP52" s="197">
        <v>0</v>
      </c>
      <c r="EQ52" s="197">
        <v>0</v>
      </c>
      <c r="ER52" s="197">
        <v>0</v>
      </c>
      <c r="ES52" s="197">
        <v>0</v>
      </c>
      <c r="ET52" s="197">
        <v>0</v>
      </c>
      <c r="EU52" s="197">
        <v>0</v>
      </c>
      <c r="EV52" s="197">
        <v>0</v>
      </c>
      <c r="EW52" s="197">
        <v>0</v>
      </c>
      <c r="EX52" s="197">
        <v>0</v>
      </c>
      <c r="EY52" s="197">
        <v>0</v>
      </c>
      <c r="EZ52" s="197">
        <v>0</v>
      </c>
      <c r="FA52" s="197">
        <v>0</v>
      </c>
      <c r="FB52" s="197">
        <v>0</v>
      </c>
      <c r="FC52" s="197">
        <v>0</v>
      </c>
      <c r="FD52" s="197">
        <v>0</v>
      </c>
      <c r="FE52" s="197">
        <v>0</v>
      </c>
      <c r="FF52" s="197">
        <v>0</v>
      </c>
      <c r="FG52" s="197">
        <v>0</v>
      </c>
      <c r="FH52" s="197">
        <v>0</v>
      </c>
      <c r="FI52" s="197">
        <v>0</v>
      </c>
      <c r="FJ52" s="197">
        <v>0</v>
      </c>
      <c r="FK52" s="197">
        <v>0</v>
      </c>
      <c r="FL52" s="227">
        <f>+AVERAGE(DH52:FK54)</f>
        <v>1.8867924528301886E-2</v>
      </c>
      <c r="FM52" s="185">
        <v>0</v>
      </c>
      <c r="FN52" s="197">
        <v>0</v>
      </c>
      <c r="FO52" s="197">
        <v>0</v>
      </c>
      <c r="FP52" s="197">
        <v>0</v>
      </c>
      <c r="FQ52" s="185">
        <v>0</v>
      </c>
      <c r="FR52" s="197">
        <v>0</v>
      </c>
      <c r="FS52" s="197">
        <v>0</v>
      </c>
      <c r="FT52" s="197">
        <v>0</v>
      </c>
      <c r="FU52" s="197">
        <v>0</v>
      </c>
      <c r="FV52" s="197">
        <v>0</v>
      </c>
      <c r="FW52" s="197">
        <v>0</v>
      </c>
      <c r="FX52" s="197">
        <v>0</v>
      </c>
      <c r="FY52" s="197">
        <v>0</v>
      </c>
      <c r="FZ52" s="197">
        <v>0</v>
      </c>
      <c r="GA52" s="197">
        <v>0</v>
      </c>
      <c r="GB52" s="197">
        <v>0</v>
      </c>
      <c r="GC52" s="197">
        <v>0</v>
      </c>
      <c r="GD52" s="197">
        <v>0</v>
      </c>
      <c r="GE52" s="197">
        <v>0</v>
      </c>
      <c r="GF52" s="197">
        <v>0</v>
      </c>
      <c r="GG52" s="197">
        <v>0</v>
      </c>
      <c r="GH52" s="197">
        <v>0</v>
      </c>
      <c r="GI52" s="197">
        <v>0</v>
      </c>
      <c r="GJ52" s="197">
        <v>0</v>
      </c>
      <c r="GK52" s="197">
        <v>0</v>
      </c>
      <c r="GL52" s="197">
        <v>0</v>
      </c>
      <c r="GM52" s="197">
        <v>0</v>
      </c>
      <c r="GN52" s="197">
        <v>0</v>
      </c>
      <c r="GO52" s="197">
        <v>0</v>
      </c>
      <c r="GP52" s="197">
        <v>0</v>
      </c>
      <c r="GQ52" s="197">
        <v>0</v>
      </c>
      <c r="GR52" s="197">
        <v>0</v>
      </c>
      <c r="GS52" s="197">
        <v>0</v>
      </c>
      <c r="GT52" s="197">
        <v>0</v>
      </c>
      <c r="GU52" s="197">
        <v>0</v>
      </c>
      <c r="GV52" s="197">
        <v>0</v>
      </c>
      <c r="GW52" s="197">
        <v>0</v>
      </c>
      <c r="GX52" s="197">
        <v>0</v>
      </c>
      <c r="GY52" s="197">
        <v>0</v>
      </c>
      <c r="GZ52" s="197">
        <v>0</v>
      </c>
      <c r="HA52" s="197">
        <v>0</v>
      </c>
      <c r="HB52" s="227">
        <f t="shared" ref="HB52" si="12">+AVERAGE(FM52:HA54)</f>
        <v>0</v>
      </c>
    </row>
    <row r="53" spans="1:210" ht="15" customHeight="1">
      <c r="A53" s="58"/>
      <c r="B53" s="186"/>
      <c r="C53" s="168"/>
      <c r="D53" s="198"/>
      <c r="E53" s="168"/>
      <c r="F53" s="186"/>
      <c r="G53" s="168"/>
      <c r="H53" s="198"/>
      <c r="I53" s="198"/>
      <c r="J53" s="186"/>
      <c r="K53" s="168"/>
      <c r="L53" s="198"/>
      <c r="M53" s="168"/>
      <c r="N53" s="198"/>
      <c r="O53" s="186"/>
      <c r="P53" s="198"/>
      <c r="Q53" s="198"/>
      <c r="R53" s="171"/>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231"/>
      <c r="DG53" s="228"/>
      <c r="DH53" s="198"/>
      <c r="DI53" s="186"/>
      <c r="DJ53" s="204"/>
      <c r="DK53" s="198"/>
      <c r="DL53" s="198"/>
      <c r="DM53" s="186"/>
      <c r="DN53" s="198"/>
      <c r="DO53" s="186"/>
      <c r="DP53" s="204"/>
      <c r="DQ53" s="198"/>
      <c r="DR53" s="186"/>
      <c r="DS53" s="198"/>
      <c r="DT53" s="198"/>
      <c r="DU53" s="234"/>
      <c r="DV53" s="198"/>
      <c r="DW53" s="198"/>
      <c r="DX53" s="198"/>
      <c r="DY53" s="198"/>
      <c r="DZ53" s="198"/>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228"/>
      <c r="FM53" s="186"/>
      <c r="FN53" s="198"/>
      <c r="FO53" s="198"/>
      <c r="FP53" s="198"/>
      <c r="FQ53" s="186"/>
      <c r="FR53" s="198"/>
      <c r="FS53" s="198"/>
      <c r="FT53" s="198"/>
      <c r="FU53" s="198"/>
      <c r="FV53" s="198"/>
      <c r="FW53" s="198"/>
      <c r="FX53" s="198"/>
      <c r="FY53" s="198"/>
      <c r="FZ53" s="198"/>
      <c r="GA53" s="198"/>
      <c r="GB53" s="198"/>
      <c r="GC53" s="198"/>
      <c r="GD53" s="198"/>
      <c r="GE53" s="198"/>
      <c r="GF53" s="198"/>
      <c r="GG53" s="198"/>
      <c r="GH53" s="198"/>
      <c r="GI53" s="198"/>
      <c r="GJ53" s="198"/>
      <c r="GK53" s="198"/>
      <c r="GL53" s="198"/>
      <c r="GM53" s="198"/>
      <c r="GN53" s="198"/>
      <c r="GO53" s="198"/>
      <c r="GP53" s="198"/>
      <c r="GQ53" s="198"/>
      <c r="GR53" s="198"/>
      <c r="GS53" s="198"/>
      <c r="GT53" s="198"/>
      <c r="GU53" s="198"/>
      <c r="GV53" s="198"/>
      <c r="GW53" s="198"/>
      <c r="GX53" s="198"/>
      <c r="GY53" s="198"/>
      <c r="GZ53" s="198"/>
      <c r="HA53" s="198"/>
      <c r="HB53" s="228"/>
    </row>
    <row r="54" spans="1:210" ht="29" thickBot="1">
      <c r="A54" s="57" t="s">
        <v>726</v>
      </c>
      <c r="B54" s="187"/>
      <c r="C54" s="169"/>
      <c r="D54" s="199"/>
      <c r="E54" s="169"/>
      <c r="F54" s="187"/>
      <c r="G54" s="169"/>
      <c r="H54" s="199"/>
      <c r="I54" s="199"/>
      <c r="J54" s="187"/>
      <c r="K54" s="169"/>
      <c r="L54" s="199"/>
      <c r="M54" s="169"/>
      <c r="N54" s="199"/>
      <c r="O54" s="187"/>
      <c r="P54" s="199"/>
      <c r="Q54" s="199"/>
      <c r="R54" s="172"/>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232"/>
      <c r="DG54" s="229"/>
      <c r="DH54" s="199"/>
      <c r="DI54" s="187"/>
      <c r="DJ54" s="205"/>
      <c r="DK54" s="199"/>
      <c r="DL54" s="199"/>
      <c r="DM54" s="187"/>
      <c r="DN54" s="199"/>
      <c r="DO54" s="187"/>
      <c r="DP54" s="205"/>
      <c r="DQ54" s="199"/>
      <c r="DR54" s="187"/>
      <c r="DS54" s="199"/>
      <c r="DT54" s="199"/>
      <c r="DU54" s="235"/>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229"/>
      <c r="FM54" s="187"/>
      <c r="FN54" s="199"/>
      <c r="FO54" s="199"/>
      <c r="FP54" s="199"/>
      <c r="FQ54" s="187"/>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229"/>
    </row>
    <row r="55" spans="1:210" ht="25" customHeight="1" thickTop="1" thickBot="1">
      <c r="A55" s="80" t="s">
        <v>725</v>
      </c>
      <c r="B55" s="81"/>
      <c r="C55" s="76"/>
      <c r="D55" s="76"/>
      <c r="E55" s="76"/>
      <c r="F55" s="96"/>
      <c r="G55" s="97"/>
      <c r="H55" s="89"/>
      <c r="I55" s="89"/>
      <c r="J55" s="96"/>
      <c r="K55" s="97"/>
      <c r="L55" s="89"/>
      <c r="M55" s="97"/>
      <c r="N55" s="89"/>
      <c r="O55" s="96"/>
      <c r="P55" s="76"/>
      <c r="Q55" s="76"/>
      <c r="R55" s="76"/>
      <c r="S55" s="89"/>
      <c r="T55" s="89"/>
      <c r="U55" s="99"/>
      <c r="V55" s="89"/>
      <c r="W55" s="89"/>
      <c r="X55" s="89"/>
      <c r="Y55" s="99"/>
      <c r="Z55" s="89"/>
      <c r="AA55" s="89"/>
      <c r="AB55" s="89"/>
      <c r="AC55" s="89"/>
      <c r="AD55" s="89"/>
      <c r="AE55" s="89"/>
      <c r="AF55" s="89"/>
      <c r="AG55" s="89"/>
      <c r="AH55" s="89"/>
      <c r="AI55" s="89"/>
      <c r="AJ55" s="99"/>
      <c r="AK55" s="89"/>
      <c r="AL55" s="89"/>
      <c r="AM55" s="99"/>
      <c r="AN55" s="89"/>
      <c r="AO55" s="89"/>
      <c r="AP55" s="89"/>
      <c r="AQ55" s="89"/>
      <c r="AR55" s="99"/>
      <c r="AS55" s="89"/>
      <c r="AT55" s="89"/>
      <c r="AU55" s="89"/>
      <c r="AV55" s="89"/>
      <c r="AW55" s="89"/>
      <c r="AX55" s="89"/>
      <c r="AY55" s="99"/>
      <c r="AZ55" s="89"/>
      <c r="BA55" s="89"/>
      <c r="BB55" s="89"/>
      <c r="BC55" s="89"/>
      <c r="BD55" s="89"/>
      <c r="BE55" s="89"/>
      <c r="BF55" s="89"/>
      <c r="BG55" s="89"/>
      <c r="BH55" s="89"/>
      <c r="BI55" s="99"/>
      <c r="BJ55" s="89"/>
      <c r="BK55" s="89"/>
      <c r="BL55" s="89"/>
      <c r="BM55" s="89"/>
      <c r="BN55" s="89"/>
      <c r="BO55" s="89"/>
      <c r="BP55" s="89"/>
      <c r="BQ55" s="89"/>
      <c r="BR55" s="99"/>
      <c r="BS55" s="99"/>
      <c r="BT55" s="89"/>
      <c r="BU55" s="89"/>
      <c r="BV55" s="89"/>
      <c r="BW55" s="89"/>
      <c r="BX55" s="99"/>
      <c r="BY55" s="89"/>
      <c r="BZ55" s="89"/>
      <c r="CA55" s="89"/>
      <c r="CB55" s="99"/>
      <c r="CC55" s="89"/>
      <c r="CD55" s="89"/>
      <c r="CE55" s="89"/>
      <c r="CF55" s="89"/>
      <c r="CG55" s="99"/>
      <c r="CH55" s="89"/>
      <c r="CI55" s="89"/>
      <c r="CJ55" s="89"/>
      <c r="CK55" s="89"/>
      <c r="CL55" s="89"/>
      <c r="CM55" s="89"/>
      <c r="CN55" s="89"/>
      <c r="CO55" s="89"/>
      <c r="CP55" s="89"/>
      <c r="CQ55" s="89"/>
      <c r="CR55" s="99"/>
      <c r="CS55" s="89"/>
      <c r="CT55" s="89"/>
      <c r="CU55" s="89"/>
      <c r="CV55" s="89"/>
      <c r="CW55" s="99"/>
      <c r="CX55" s="99"/>
      <c r="CY55" s="89"/>
      <c r="CZ55" s="89"/>
      <c r="DA55" s="89"/>
      <c r="DB55" s="89"/>
      <c r="DC55" s="89"/>
      <c r="DD55" s="89"/>
      <c r="DE55" s="89"/>
      <c r="DF55" s="89"/>
      <c r="DG55" s="105">
        <f>+AVERAGE(DG56:DG73)</f>
        <v>0.64563106796116509</v>
      </c>
      <c r="DH55" s="89"/>
      <c r="DI55" s="96"/>
      <c r="DJ55" s="112"/>
      <c r="DK55" s="89"/>
      <c r="DL55" s="89"/>
      <c r="DM55" s="96"/>
      <c r="DN55" s="89"/>
      <c r="DO55" s="96"/>
      <c r="DP55" s="112"/>
      <c r="DQ55" s="89"/>
      <c r="DR55" s="96"/>
      <c r="DS55" s="76"/>
      <c r="DT55" s="89"/>
      <c r="DU55" s="89"/>
      <c r="DV55" s="99"/>
      <c r="DW55" s="89"/>
      <c r="DX55" s="89"/>
      <c r="DY55" s="99"/>
      <c r="DZ55" s="89"/>
      <c r="EA55" s="99"/>
      <c r="EB55" s="99"/>
      <c r="EC55" s="89"/>
      <c r="ED55" s="99"/>
      <c r="EE55" s="89"/>
      <c r="EF55" s="89"/>
      <c r="EG55" s="89"/>
      <c r="EH55" s="89"/>
      <c r="EI55" s="89"/>
      <c r="EJ55" s="89"/>
      <c r="EK55" s="89"/>
      <c r="EL55" s="89"/>
      <c r="EM55" s="89"/>
      <c r="EN55" s="89"/>
      <c r="EO55" s="89"/>
      <c r="EP55" s="89"/>
      <c r="EQ55" s="89"/>
      <c r="ER55" s="89"/>
      <c r="ES55" s="89"/>
      <c r="ET55" s="89"/>
      <c r="EU55" s="89"/>
      <c r="EV55" s="89"/>
      <c r="EW55" s="89"/>
      <c r="EX55" s="99"/>
      <c r="EY55" s="89"/>
      <c r="EZ55" s="99"/>
      <c r="FA55" s="89"/>
      <c r="FB55" s="89"/>
      <c r="FC55" s="89"/>
      <c r="FD55" s="99"/>
      <c r="FE55" s="89"/>
      <c r="FF55" s="89"/>
      <c r="FG55" s="89"/>
      <c r="FH55" s="89"/>
      <c r="FI55" s="89"/>
      <c r="FJ55" s="89"/>
      <c r="FK55" s="89"/>
      <c r="FL55" s="105">
        <f>+AVERAGE(FL56:FL73)</f>
        <v>0.66352201257861632</v>
      </c>
      <c r="FM55" s="96"/>
      <c r="FN55" s="89"/>
      <c r="FO55" s="89"/>
      <c r="FP55" s="89"/>
      <c r="FQ55" s="96"/>
      <c r="FR55" s="89"/>
      <c r="FS55" s="89"/>
      <c r="FT55" s="99"/>
      <c r="FU55" s="99"/>
      <c r="FV55" s="89"/>
      <c r="FW55" s="89"/>
      <c r="FX55" s="99"/>
      <c r="FY55" s="99"/>
      <c r="FZ55" s="89"/>
      <c r="GA55" s="89"/>
      <c r="GB55" s="99"/>
      <c r="GC55" s="89"/>
      <c r="GD55" s="89"/>
      <c r="GE55" s="89"/>
      <c r="GF55" s="89"/>
      <c r="GG55" s="89"/>
      <c r="GH55" s="89"/>
      <c r="GI55" s="89"/>
      <c r="GJ55" s="89"/>
      <c r="GK55" s="89"/>
      <c r="GL55" s="89"/>
      <c r="GM55" s="89"/>
      <c r="GN55" s="89"/>
      <c r="GO55" s="89"/>
      <c r="GP55" s="89"/>
      <c r="GQ55" s="99"/>
      <c r="GR55" s="89"/>
      <c r="GS55" s="89"/>
      <c r="GT55" s="89"/>
      <c r="GU55" s="99"/>
      <c r="GV55" s="89"/>
      <c r="GW55" s="99"/>
      <c r="GX55" s="89"/>
      <c r="GY55" s="89"/>
      <c r="GZ55" s="89"/>
      <c r="HA55" s="89"/>
      <c r="HB55" s="105">
        <f>+AVERAGE(HB56:HB73)</f>
        <v>0.66260162601626016</v>
      </c>
    </row>
    <row r="56" spans="1:210" ht="16" customHeight="1" thickTop="1">
      <c r="A56" s="59" t="s">
        <v>724</v>
      </c>
      <c r="B56" s="185">
        <v>0</v>
      </c>
      <c r="C56" s="173" t="s">
        <v>842</v>
      </c>
      <c r="D56" s="200">
        <v>0</v>
      </c>
      <c r="E56" s="173" t="s">
        <v>842</v>
      </c>
      <c r="F56" s="185">
        <v>0</v>
      </c>
      <c r="G56" s="173"/>
      <c r="H56" s="200">
        <v>0</v>
      </c>
      <c r="I56" s="200">
        <v>0</v>
      </c>
      <c r="J56" s="185">
        <v>0</v>
      </c>
      <c r="K56" s="173"/>
      <c r="L56" s="200">
        <v>0</v>
      </c>
      <c r="M56" s="173"/>
      <c r="N56" s="200">
        <v>0</v>
      </c>
      <c r="O56" s="185">
        <v>0</v>
      </c>
      <c r="P56" s="200">
        <v>0</v>
      </c>
      <c r="Q56" s="200">
        <v>0</v>
      </c>
      <c r="R56" s="194" t="s">
        <v>819</v>
      </c>
      <c r="S56" s="200">
        <v>0</v>
      </c>
      <c r="T56" s="200">
        <v>0</v>
      </c>
      <c r="U56" s="200">
        <v>0</v>
      </c>
      <c r="V56" s="200">
        <v>0</v>
      </c>
      <c r="W56" s="200">
        <v>0</v>
      </c>
      <c r="X56" s="200">
        <v>0</v>
      </c>
      <c r="Y56" s="200">
        <v>0</v>
      </c>
      <c r="Z56" s="200">
        <v>0</v>
      </c>
      <c r="AA56" s="200">
        <v>0</v>
      </c>
      <c r="AB56" s="200">
        <v>0</v>
      </c>
      <c r="AC56" s="200">
        <v>0</v>
      </c>
      <c r="AD56" s="200">
        <v>0</v>
      </c>
      <c r="AE56" s="200">
        <v>0</v>
      </c>
      <c r="AF56" s="200">
        <v>0</v>
      </c>
      <c r="AG56" s="200">
        <v>0</v>
      </c>
      <c r="AH56" s="200">
        <v>0</v>
      </c>
      <c r="AI56" s="200">
        <v>0</v>
      </c>
      <c r="AJ56" s="200">
        <v>0</v>
      </c>
      <c r="AK56" s="200">
        <v>0</v>
      </c>
      <c r="AL56" s="200">
        <v>0</v>
      </c>
      <c r="AM56" s="200">
        <v>0</v>
      </c>
      <c r="AN56" s="200">
        <v>0</v>
      </c>
      <c r="AO56" s="200">
        <v>0</v>
      </c>
      <c r="AP56" s="200">
        <v>0</v>
      </c>
      <c r="AQ56" s="200">
        <v>0</v>
      </c>
      <c r="AR56" s="200">
        <v>0</v>
      </c>
      <c r="AS56" s="200">
        <v>0</v>
      </c>
      <c r="AT56" s="200">
        <v>0</v>
      </c>
      <c r="AU56" s="200">
        <v>0</v>
      </c>
      <c r="AV56" s="200">
        <v>0</v>
      </c>
      <c r="AW56" s="200">
        <v>0</v>
      </c>
      <c r="AX56" s="200">
        <v>0</v>
      </c>
      <c r="AY56" s="200">
        <v>0</v>
      </c>
      <c r="AZ56" s="200">
        <v>0</v>
      </c>
      <c r="BA56" s="200">
        <v>0</v>
      </c>
      <c r="BB56" s="200">
        <v>0</v>
      </c>
      <c r="BC56" s="200">
        <v>0</v>
      </c>
      <c r="BD56" s="200">
        <v>0</v>
      </c>
      <c r="BE56" s="200">
        <v>0</v>
      </c>
      <c r="BF56" s="200">
        <v>0</v>
      </c>
      <c r="BG56" s="200">
        <v>0</v>
      </c>
      <c r="BH56" s="200">
        <v>0</v>
      </c>
      <c r="BI56" s="200">
        <v>0</v>
      </c>
      <c r="BJ56" s="200">
        <v>0</v>
      </c>
      <c r="BK56" s="200">
        <v>0</v>
      </c>
      <c r="BL56" s="200">
        <v>0</v>
      </c>
      <c r="BM56" s="200">
        <v>0</v>
      </c>
      <c r="BN56" s="200">
        <v>0</v>
      </c>
      <c r="BO56" s="200">
        <v>0</v>
      </c>
      <c r="BP56" s="200">
        <v>0</v>
      </c>
      <c r="BQ56" s="200">
        <v>0</v>
      </c>
      <c r="BR56" s="200">
        <v>0</v>
      </c>
      <c r="BS56" s="200">
        <v>0</v>
      </c>
      <c r="BT56" s="200">
        <v>0</v>
      </c>
      <c r="BU56" s="200">
        <v>0</v>
      </c>
      <c r="BV56" s="200">
        <v>0</v>
      </c>
      <c r="BW56" s="200">
        <v>0</v>
      </c>
      <c r="BX56" s="200">
        <v>0</v>
      </c>
      <c r="BY56" s="200">
        <v>0</v>
      </c>
      <c r="BZ56" s="200">
        <v>0</v>
      </c>
      <c r="CA56" s="200">
        <v>0</v>
      </c>
      <c r="CB56" s="200">
        <v>0</v>
      </c>
      <c r="CC56" s="200">
        <v>0</v>
      </c>
      <c r="CD56" s="200">
        <v>0</v>
      </c>
      <c r="CE56" s="200">
        <v>0</v>
      </c>
      <c r="CF56" s="200">
        <v>0</v>
      </c>
      <c r="CG56" s="200">
        <v>0</v>
      </c>
      <c r="CH56" s="200">
        <v>0</v>
      </c>
      <c r="CI56" s="200">
        <v>0</v>
      </c>
      <c r="CJ56" s="200">
        <v>0</v>
      </c>
      <c r="CK56" s="200">
        <v>0</v>
      </c>
      <c r="CL56" s="200">
        <v>0</v>
      </c>
      <c r="CM56" s="200">
        <v>0</v>
      </c>
      <c r="CN56" s="200">
        <v>0</v>
      </c>
      <c r="CO56" s="200">
        <v>0</v>
      </c>
      <c r="CP56" s="200">
        <v>0</v>
      </c>
      <c r="CQ56" s="200">
        <v>0</v>
      </c>
      <c r="CR56" s="200">
        <v>0</v>
      </c>
      <c r="CS56" s="200">
        <v>0</v>
      </c>
      <c r="CT56" s="200">
        <v>0</v>
      </c>
      <c r="CU56" s="200">
        <v>0</v>
      </c>
      <c r="CV56" s="200">
        <v>0</v>
      </c>
      <c r="CW56" s="200"/>
      <c r="CX56" s="200">
        <v>0</v>
      </c>
      <c r="CY56" s="200">
        <v>0</v>
      </c>
      <c r="CZ56" s="200">
        <v>0</v>
      </c>
      <c r="DA56" s="200">
        <v>0</v>
      </c>
      <c r="DB56" s="200">
        <v>0</v>
      </c>
      <c r="DC56" s="200">
        <v>0</v>
      </c>
      <c r="DD56" s="200">
        <v>0</v>
      </c>
      <c r="DE56" s="200">
        <v>0</v>
      </c>
      <c r="DF56" s="224">
        <v>0</v>
      </c>
      <c r="DG56" s="227">
        <f>+AVERAGE(B56:DF58)</f>
        <v>0</v>
      </c>
      <c r="DH56" s="200">
        <v>0</v>
      </c>
      <c r="DI56" s="185">
        <v>0</v>
      </c>
      <c r="DJ56" s="203"/>
      <c r="DK56" s="200">
        <v>0</v>
      </c>
      <c r="DL56" s="200">
        <v>0</v>
      </c>
      <c r="DM56" s="185">
        <v>0</v>
      </c>
      <c r="DN56" s="200">
        <v>0</v>
      </c>
      <c r="DO56" s="185">
        <v>0</v>
      </c>
      <c r="DP56" s="203"/>
      <c r="DQ56" s="200">
        <v>0</v>
      </c>
      <c r="DR56" s="185">
        <v>0</v>
      </c>
      <c r="DS56" s="200">
        <v>0</v>
      </c>
      <c r="DT56" s="200">
        <v>0</v>
      </c>
      <c r="DU56" s="242" t="s">
        <v>819</v>
      </c>
      <c r="DV56" s="200">
        <v>0</v>
      </c>
      <c r="DW56" s="200">
        <v>0</v>
      </c>
      <c r="DX56" s="200">
        <v>0</v>
      </c>
      <c r="DY56" s="200">
        <v>0</v>
      </c>
      <c r="DZ56" s="200">
        <v>0</v>
      </c>
      <c r="EA56" s="200">
        <v>0</v>
      </c>
      <c r="EB56" s="200">
        <v>0</v>
      </c>
      <c r="EC56" s="200">
        <v>0</v>
      </c>
      <c r="ED56" s="200">
        <v>0</v>
      </c>
      <c r="EE56" s="200">
        <v>0</v>
      </c>
      <c r="EF56" s="200">
        <v>0</v>
      </c>
      <c r="EG56" s="200">
        <v>0</v>
      </c>
      <c r="EH56" s="200">
        <v>0</v>
      </c>
      <c r="EI56" s="200">
        <v>0</v>
      </c>
      <c r="EJ56" s="200">
        <v>0</v>
      </c>
      <c r="EK56" s="200">
        <v>0</v>
      </c>
      <c r="EL56" s="200">
        <v>0</v>
      </c>
      <c r="EM56" s="200">
        <v>0</v>
      </c>
      <c r="EN56" s="200">
        <v>0</v>
      </c>
      <c r="EO56" s="200">
        <v>0</v>
      </c>
      <c r="EP56" s="200">
        <v>0</v>
      </c>
      <c r="EQ56" s="200">
        <v>0</v>
      </c>
      <c r="ER56" s="200">
        <v>0</v>
      </c>
      <c r="ES56" s="200">
        <v>0</v>
      </c>
      <c r="ET56" s="200">
        <v>0</v>
      </c>
      <c r="EU56" s="200">
        <v>0</v>
      </c>
      <c r="EV56" s="200">
        <v>0</v>
      </c>
      <c r="EW56" s="200">
        <v>0</v>
      </c>
      <c r="EX56" s="200">
        <v>0</v>
      </c>
      <c r="EY56" s="200">
        <v>0</v>
      </c>
      <c r="EZ56" s="200">
        <v>0</v>
      </c>
      <c r="FA56" s="200">
        <v>0</v>
      </c>
      <c r="FB56" s="200">
        <v>0</v>
      </c>
      <c r="FC56" s="200">
        <v>0</v>
      </c>
      <c r="FD56" s="200">
        <v>0</v>
      </c>
      <c r="FE56" s="200">
        <v>0</v>
      </c>
      <c r="FF56" s="200">
        <v>0</v>
      </c>
      <c r="FG56" s="200">
        <v>0</v>
      </c>
      <c r="FH56" s="200">
        <v>0</v>
      </c>
      <c r="FI56" s="200">
        <v>0</v>
      </c>
      <c r="FJ56" s="200">
        <v>0</v>
      </c>
      <c r="FK56" s="200">
        <v>0</v>
      </c>
      <c r="FL56" s="227">
        <f>+AVERAGE(DH56:FK58)</f>
        <v>0</v>
      </c>
      <c r="FM56" s="185">
        <v>0</v>
      </c>
      <c r="FN56" s="200">
        <v>0</v>
      </c>
      <c r="FO56" s="200">
        <v>0</v>
      </c>
      <c r="FP56" s="200">
        <v>0</v>
      </c>
      <c r="FQ56" s="185">
        <v>0</v>
      </c>
      <c r="FR56" s="200">
        <v>0</v>
      </c>
      <c r="FS56" s="200">
        <v>0</v>
      </c>
      <c r="FT56" s="200">
        <v>0</v>
      </c>
      <c r="FU56" s="200">
        <v>0</v>
      </c>
      <c r="FV56" s="200">
        <v>0</v>
      </c>
      <c r="FW56" s="200">
        <v>0</v>
      </c>
      <c r="FX56" s="200">
        <v>0</v>
      </c>
      <c r="FY56" s="200">
        <v>0</v>
      </c>
      <c r="FZ56" s="200">
        <v>0</v>
      </c>
      <c r="GA56" s="200">
        <v>0</v>
      </c>
      <c r="GB56" s="200">
        <v>0</v>
      </c>
      <c r="GC56" s="200">
        <v>0</v>
      </c>
      <c r="GD56" s="200">
        <v>0</v>
      </c>
      <c r="GE56" s="200">
        <v>0</v>
      </c>
      <c r="GF56" s="200">
        <v>0</v>
      </c>
      <c r="GG56" s="200">
        <v>0</v>
      </c>
      <c r="GH56" s="200">
        <v>0</v>
      </c>
      <c r="GI56" s="200">
        <v>0</v>
      </c>
      <c r="GJ56" s="200">
        <v>0</v>
      </c>
      <c r="GK56" s="200">
        <v>0</v>
      </c>
      <c r="GL56" s="200">
        <v>0</v>
      </c>
      <c r="GM56" s="200">
        <v>0</v>
      </c>
      <c r="GN56" s="200">
        <v>0</v>
      </c>
      <c r="GO56" s="200">
        <v>0</v>
      </c>
      <c r="GP56" s="200">
        <v>0</v>
      </c>
      <c r="GQ56" s="200">
        <v>0</v>
      </c>
      <c r="GR56" s="200">
        <v>0</v>
      </c>
      <c r="GS56" s="200">
        <v>0</v>
      </c>
      <c r="GT56" s="200">
        <v>0</v>
      </c>
      <c r="GU56" s="200">
        <v>0</v>
      </c>
      <c r="GV56" s="200">
        <v>0</v>
      </c>
      <c r="GW56" s="200">
        <v>0</v>
      </c>
      <c r="GX56" s="200">
        <v>0</v>
      </c>
      <c r="GY56" s="200">
        <v>0</v>
      </c>
      <c r="GZ56" s="200">
        <v>0</v>
      </c>
      <c r="HA56" s="200">
        <v>0</v>
      </c>
      <c r="HB56" s="227">
        <f>+AVERAGE(FM56:HA58)</f>
        <v>0</v>
      </c>
    </row>
    <row r="57" spans="1:210" ht="15" customHeight="1">
      <c r="A57" s="58"/>
      <c r="B57" s="186"/>
      <c r="C57" s="174"/>
      <c r="D57" s="201"/>
      <c r="E57" s="174"/>
      <c r="F57" s="186"/>
      <c r="G57" s="174"/>
      <c r="H57" s="201"/>
      <c r="I57" s="201"/>
      <c r="J57" s="186"/>
      <c r="K57" s="174"/>
      <c r="L57" s="201"/>
      <c r="M57" s="174"/>
      <c r="N57" s="201"/>
      <c r="O57" s="186"/>
      <c r="P57" s="201"/>
      <c r="Q57" s="201"/>
      <c r="R57" s="195"/>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25"/>
      <c r="DG57" s="228"/>
      <c r="DH57" s="201"/>
      <c r="DI57" s="186"/>
      <c r="DJ57" s="204"/>
      <c r="DK57" s="201"/>
      <c r="DL57" s="201"/>
      <c r="DM57" s="186"/>
      <c r="DN57" s="201"/>
      <c r="DO57" s="186"/>
      <c r="DP57" s="204"/>
      <c r="DQ57" s="201"/>
      <c r="DR57" s="186"/>
      <c r="DS57" s="201"/>
      <c r="DT57" s="201"/>
      <c r="DU57" s="243"/>
      <c r="DV57" s="201"/>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c r="ET57" s="201"/>
      <c r="EU57" s="201"/>
      <c r="EV57" s="201"/>
      <c r="EW57" s="201"/>
      <c r="EX57" s="201"/>
      <c r="EY57" s="201"/>
      <c r="EZ57" s="201"/>
      <c r="FA57" s="201"/>
      <c r="FB57" s="201"/>
      <c r="FC57" s="201"/>
      <c r="FD57" s="201"/>
      <c r="FE57" s="201"/>
      <c r="FF57" s="201"/>
      <c r="FG57" s="201"/>
      <c r="FH57" s="201"/>
      <c r="FI57" s="201"/>
      <c r="FJ57" s="201"/>
      <c r="FK57" s="201"/>
      <c r="FL57" s="228"/>
      <c r="FM57" s="186"/>
      <c r="FN57" s="201"/>
      <c r="FO57" s="201"/>
      <c r="FP57" s="201"/>
      <c r="FQ57" s="186"/>
      <c r="FR57" s="201"/>
      <c r="FS57" s="201"/>
      <c r="FT57" s="201"/>
      <c r="FU57" s="201"/>
      <c r="FV57" s="201"/>
      <c r="FW57" s="201"/>
      <c r="FX57" s="201"/>
      <c r="FY57" s="201"/>
      <c r="FZ57" s="201"/>
      <c r="GA57" s="201"/>
      <c r="GB57" s="201"/>
      <c r="GC57" s="201"/>
      <c r="GD57" s="201"/>
      <c r="GE57" s="201"/>
      <c r="GF57" s="201"/>
      <c r="GG57" s="201"/>
      <c r="GH57" s="201"/>
      <c r="GI57" s="201"/>
      <c r="GJ57" s="201"/>
      <c r="GK57" s="201"/>
      <c r="GL57" s="201"/>
      <c r="GM57" s="201"/>
      <c r="GN57" s="201"/>
      <c r="GO57" s="201"/>
      <c r="GP57" s="201"/>
      <c r="GQ57" s="201"/>
      <c r="GR57" s="201"/>
      <c r="GS57" s="201"/>
      <c r="GT57" s="201"/>
      <c r="GU57" s="201"/>
      <c r="GV57" s="201"/>
      <c r="GW57" s="201"/>
      <c r="GX57" s="201"/>
      <c r="GY57" s="201"/>
      <c r="GZ57" s="201"/>
      <c r="HA57" s="201"/>
      <c r="HB57" s="228"/>
    </row>
    <row r="58" spans="1:210" ht="57" thickBot="1">
      <c r="A58" s="57" t="s">
        <v>723</v>
      </c>
      <c r="B58" s="187"/>
      <c r="C58" s="175"/>
      <c r="D58" s="202"/>
      <c r="E58" s="175"/>
      <c r="F58" s="187"/>
      <c r="G58" s="175"/>
      <c r="H58" s="202"/>
      <c r="I58" s="202"/>
      <c r="J58" s="187"/>
      <c r="K58" s="175"/>
      <c r="L58" s="202"/>
      <c r="M58" s="175"/>
      <c r="N58" s="202"/>
      <c r="O58" s="187"/>
      <c r="P58" s="202"/>
      <c r="Q58" s="202"/>
      <c r="R58" s="196"/>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26"/>
      <c r="DG58" s="229"/>
      <c r="DH58" s="202"/>
      <c r="DI58" s="187"/>
      <c r="DJ58" s="205"/>
      <c r="DK58" s="202"/>
      <c r="DL58" s="202"/>
      <c r="DM58" s="187"/>
      <c r="DN58" s="202"/>
      <c r="DO58" s="187"/>
      <c r="DP58" s="205"/>
      <c r="DQ58" s="202"/>
      <c r="DR58" s="187"/>
      <c r="DS58" s="202"/>
      <c r="DT58" s="202"/>
      <c r="DU58" s="244"/>
      <c r="DV58" s="202"/>
      <c r="DW58" s="202"/>
      <c r="DX58" s="202"/>
      <c r="DY58" s="202"/>
      <c r="DZ58" s="202"/>
      <c r="EA58" s="202"/>
      <c r="EB58" s="202"/>
      <c r="EC58" s="202"/>
      <c r="ED58" s="202"/>
      <c r="EE58" s="202"/>
      <c r="EF58" s="202"/>
      <c r="EG58" s="202"/>
      <c r="EH58" s="202"/>
      <c r="EI58" s="202"/>
      <c r="EJ58" s="202"/>
      <c r="EK58" s="202"/>
      <c r="EL58" s="202"/>
      <c r="EM58" s="202"/>
      <c r="EN58" s="202"/>
      <c r="EO58" s="202"/>
      <c r="EP58" s="202"/>
      <c r="EQ58" s="202"/>
      <c r="ER58" s="202"/>
      <c r="ES58" s="202"/>
      <c r="ET58" s="202"/>
      <c r="EU58" s="202"/>
      <c r="EV58" s="202"/>
      <c r="EW58" s="202"/>
      <c r="EX58" s="202"/>
      <c r="EY58" s="202"/>
      <c r="EZ58" s="202"/>
      <c r="FA58" s="202"/>
      <c r="FB58" s="202"/>
      <c r="FC58" s="202"/>
      <c r="FD58" s="202"/>
      <c r="FE58" s="202"/>
      <c r="FF58" s="202"/>
      <c r="FG58" s="202"/>
      <c r="FH58" s="202"/>
      <c r="FI58" s="202"/>
      <c r="FJ58" s="202"/>
      <c r="FK58" s="202"/>
      <c r="FL58" s="229"/>
      <c r="FM58" s="187"/>
      <c r="FN58" s="202"/>
      <c r="FO58" s="202"/>
      <c r="FP58" s="202"/>
      <c r="FQ58" s="187"/>
      <c r="FR58" s="202"/>
      <c r="FS58" s="202"/>
      <c r="FT58" s="202"/>
      <c r="FU58" s="202"/>
      <c r="FV58" s="202"/>
      <c r="FW58" s="202"/>
      <c r="FX58" s="202"/>
      <c r="FY58" s="202"/>
      <c r="FZ58" s="202"/>
      <c r="GA58" s="202"/>
      <c r="GB58" s="202"/>
      <c r="GC58" s="202"/>
      <c r="GD58" s="202"/>
      <c r="GE58" s="202"/>
      <c r="GF58" s="202"/>
      <c r="GG58" s="202"/>
      <c r="GH58" s="202"/>
      <c r="GI58" s="202"/>
      <c r="GJ58" s="202"/>
      <c r="GK58" s="202"/>
      <c r="GL58" s="202"/>
      <c r="GM58" s="202"/>
      <c r="GN58" s="202"/>
      <c r="GO58" s="202"/>
      <c r="GP58" s="202"/>
      <c r="GQ58" s="202"/>
      <c r="GR58" s="202"/>
      <c r="GS58" s="202"/>
      <c r="GT58" s="202"/>
      <c r="GU58" s="202"/>
      <c r="GV58" s="202"/>
      <c r="GW58" s="202"/>
      <c r="GX58" s="202"/>
      <c r="GY58" s="202"/>
      <c r="GZ58" s="202"/>
      <c r="HA58" s="202"/>
      <c r="HB58" s="229"/>
    </row>
    <row r="59" spans="1:210" ht="16" customHeight="1" thickTop="1">
      <c r="A59" s="59" t="s">
        <v>722</v>
      </c>
      <c r="B59" s="185">
        <v>1</v>
      </c>
      <c r="C59" s="167" t="s">
        <v>843</v>
      </c>
      <c r="D59" s="197">
        <v>0</v>
      </c>
      <c r="E59" s="167" t="s">
        <v>844</v>
      </c>
      <c r="F59" s="185">
        <v>0</v>
      </c>
      <c r="G59" s="167" t="s">
        <v>865</v>
      </c>
      <c r="H59" s="185">
        <v>0</v>
      </c>
      <c r="I59" s="185">
        <v>0</v>
      </c>
      <c r="J59" s="185">
        <v>0</v>
      </c>
      <c r="K59" s="167" t="s">
        <v>874</v>
      </c>
      <c r="L59" s="197">
        <v>0</v>
      </c>
      <c r="M59" s="167" t="s">
        <v>883</v>
      </c>
      <c r="N59" s="197">
        <v>0</v>
      </c>
      <c r="O59" s="185">
        <v>0</v>
      </c>
      <c r="P59" s="197">
        <v>0</v>
      </c>
      <c r="Q59" s="197">
        <v>0</v>
      </c>
      <c r="R59" s="194" t="s">
        <v>820</v>
      </c>
      <c r="S59" s="197">
        <v>0</v>
      </c>
      <c r="T59" s="197">
        <v>0</v>
      </c>
      <c r="U59" s="197">
        <v>0</v>
      </c>
      <c r="V59" s="197">
        <v>0</v>
      </c>
      <c r="W59" s="197">
        <v>0</v>
      </c>
      <c r="X59" s="197">
        <v>0</v>
      </c>
      <c r="Y59" s="197">
        <v>0</v>
      </c>
      <c r="Z59" s="197">
        <v>0</v>
      </c>
      <c r="AA59" s="197">
        <v>0</v>
      </c>
      <c r="AB59" s="197">
        <v>0</v>
      </c>
      <c r="AC59" s="197">
        <v>0</v>
      </c>
      <c r="AD59" s="197">
        <v>0</v>
      </c>
      <c r="AE59" s="197">
        <v>0</v>
      </c>
      <c r="AF59" s="197">
        <v>0</v>
      </c>
      <c r="AG59" s="197">
        <v>0</v>
      </c>
      <c r="AH59" s="197">
        <v>0</v>
      </c>
      <c r="AI59" s="197">
        <v>0</v>
      </c>
      <c r="AJ59" s="197">
        <v>0</v>
      </c>
      <c r="AK59" s="197">
        <v>0</v>
      </c>
      <c r="AL59" s="197">
        <v>0</v>
      </c>
      <c r="AM59" s="197">
        <v>0</v>
      </c>
      <c r="AN59" s="197">
        <v>0</v>
      </c>
      <c r="AO59" s="197">
        <v>0</v>
      </c>
      <c r="AP59" s="197">
        <v>0</v>
      </c>
      <c r="AQ59" s="197">
        <v>0</v>
      </c>
      <c r="AR59" s="197">
        <v>0</v>
      </c>
      <c r="AS59" s="197">
        <v>0</v>
      </c>
      <c r="AT59" s="197">
        <v>0</v>
      </c>
      <c r="AU59" s="197">
        <v>0</v>
      </c>
      <c r="AV59" s="197">
        <v>0</v>
      </c>
      <c r="AW59" s="197">
        <v>0</v>
      </c>
      <c r="AX59" s="197">
        <v>0</v>
      </c>
      <c r="AY59" s="197">
        <v>0</v>
      </c>
      <c r="AZ59" s="197">
        <v>0</v>
      </c>
      <c r="BA59" s="197">
        <v>0</v>
      </c>
      <c r="BB59" s="197">
        <v>0</v>
      </c>
      <c r="BC59" s="197">
        <v>0</v>
      </c>
      <c r="BD59" s="197">
        <v>0</v>
      </c>
      <c r="BE59" s="197">
        <v>0</v>
      </c>
      <c r="BF59" s="197">
        <v>0</v>
      </c>
      <c r="BG59" s="197">
        <v>0</v>
      </c>
      <c r="BH59" s="197">
        <v>0</v>
      </c>
      <c r="BI59" s="197">
        <v>0</v>
      </c>
      <c r="BJ59" s="197">
        <v>0</v>
      </c>
      <c r="BK59" s="197">
        <v>0</v>
      </c>
      <c r="BL59" s="197">
        <v>0</v>
      </c>
      <c r="BM59" s="197">
        <v>0</v>
      </c>
      <c r="BN59" s="197">
        <v>0</v>
      </c>
      <c r="BO59" s="197">
        <v>0</v>
      </c>
      <c r="BP59" s="197">
        <v>0</v>
      </c>
      <c r="BQ59" s="197">
        <v>0</v>
      </c>
      <c r="BR59" s="197">
        <v>0</v>
      </c>
      <c r="BS59" s="197">
        <v>0</v>
      </c>
      <c r="BT59" s="197">
        <v>0</v>
      </c>
      <c r="BU59" s="197">
        <v>0</v>
      </c>
      <c r="BV59" s="197">
        <v>0</v>
      </c>
      <c r="BW59" s="197">
        <v>0</v>
      </c>
      <c r="BX59" s="197">
        <v>0</v>
      </c>
      <c r="BY59" s="197">
        <v>0</v>
      </c>
      <c r="BZ59" s="197">
        <v>0</v>
      </c>
      <c r="CA59" s="197">
        <v>0</v>
      </c>
      <c r="CB59" s="197">
        <v>0</v>
      </c>
      <c r="CC59" s="197">
        <v>0</v>
      </c>
      <c r="CD59" s="197">
        <v>0</v>
      </c>
      <c r="CE59" s="197">
        <v>0</v>
      </c>
      <c r="CF59" s="197">
        <v>0</v>
      </c>
      <c r="CG59" s="197">
        <v>0</v>
      </c>
      <c r="CH59" s="197">
        <v>0</v>
      </c>
      <c r="CI59" s="197">
        <v>0</v>
      </c>
      <c r="CJ59" s="197">
        <v>0</v>
      </c>
      <c r="CK59" s="197">
        <v>0</v>
      </c>
      <c r="CL59" s="197">
        <v>0</v>
      </c>
      <c r="CM59" s="197">
        <v>0</v>
      </c>
      <c r="CN59" s="197">
        <v>0</v>
      </c>
      <c r="CO59" s="197">
        <v>0</v>
      </c>
      <c r="CP59" s="197">
        <v>0</v>
      </c>
      <c r="CQ59" s="197">
        <v>0</v>
      </c>
      <c r="CR59" s="197">
        <v>0</v>
      </c>
      <c r="CS59" s="197">
        <v>0</v>
      </c>
      <c r="CT59" s="197">
        <v>0</v>
      </c>
      <c r="CU59" s="197">
        <v>0</v>
      </c>
      <c r="CV59" s="197">
        <v>0</v>
      </c>
      <c r="CW59" s="197">
        <v>0</v>
      </c>
      <c r="CX59" s="197">
        <v>0</v>
      </c>
      <c r="CY59" s="197">
        <v>0</v>
      </c>
      <c r="CZ59" s="197">
        <v>0</v>
      </c>
      <c r="DA59" s="197">
        <v>0</v>
      </c>
      <c r="DB59" s="197">
        <v>0</v>
      </c>
      <c r="DC59" s="197">
        <v>0</v>
      </c>
      <c r="DD59" s="197">
        <v>0</v>
      </c>
      <c r="DE59" s="197">
        <v>0</v>
      </c>
      <c r="DF59" s="230">
        <v>0</v>
      </c>
      <c r="DG59" s="227">
        <f>+AVERAGE(B59:DF61)</f>
        <v>9.7087378640776691E-3</v>
      </c>
      <c r="DH59" s="197">
        <v>0</v>
      </c>
      <c r="DI59" s="185">
        <v>0</v>
      </c>
      <c r="DJ59" s="203"/>
      <c r="DK59" s="185">
        <v>0</v>
      </c>
      <c r="DL59" s="185">
        <v>0</v>
      </c>
      <c r="DM59" s="185">
        <v>0</v>
      </c>
      <c r="DN59" s="197">
        <v>0</v>
      </c>
      <c r="DO59" s="185">
        <v>0</v>
      </c>
      <c r="DP59" s="203"/>
      <c r="DQ59" s="197">
        <v>0</v>
      </c>
      <c r="DR59" s="185">
        <v>0</v>
      </c>
      <c r="DS59" s="197">
        <v>0</v>
      </c>
      <c r="DT59" s="197">
        <v>0</v>
      </c>
      <c r="DU59" s="242"/>
      <c r="DV59" s="197">
        <v>0</v>
      </c>
      <c r="DW59" s="197">
        <v>0</v>
      </c>
      <c r="DX59" s="197">
        <v>0</v>
      </c>
      <c r="DY59" s="197">
        <v>0</v>
      </c>
      <c r="DZ59" s="197">
        <v>0</v>
      </c>
      <c r="EA59" s="197">
        <v>0</v>
      </c>
      <c r="EB59" s="197">
        <v>0</v>
      </c>
      <c r="EC59" s="197">
        <v>0</v>
      </c>
      <c r="ED59" s="197">
        <v>0</v>
      </c>
      <c r="EE59" s="197">
        <v>0</v>
      </c>
      <c r="EF59" s="197">
        <v>0</v>
      </c>
      <c r="EG59" s="197">
        <v>0</v>
      </c>
      <c r="EH59" s="197">
        <v>0</v>
      </c>
      <c r="EI59" s="197">
        <v>0</v>
      </c>
      <c r="EJ59" s="197">
        <v>0</v>
      </c>
      <c r="EK59" s="197">
        <v>0</v>
      </c>
      <c r="EL59" s="197">
        <v>0</v>
      </c>
      <c r="EM59" s="197">
        <v>0</v>
      </c>
      <c r="EN59" s="197">
        <v>0</v>
      </c>
      <c r="EO59" s="197">
        <v>0</v>
      </c>
      <c r="EP59" s="197">
        <v>0</v>
      </c>
      <c r="EQ59" s="197">
        <v>0</v>
      </c>
      <c r="ER59" s="197">
        <v>0</v>
      </c>
      <c r="ES59" s="197">
        <v>0</v>
      </c>
      <c r="ET59" s="197">
        <v>0</v>
      </c>
      <c r="EU59" s="197">
        <v>0</v>
      </c>
      <c r="EV59" s="197">
        <v>0</v>
      </c>
      <c r="EW59" s="197">
        <v>0</v>
      </c>
      <c r="EX59" s="197">
        <v>0</v>
      </c>
      <c r="EY59" s="197">
        <v>0</v>
      </c>
      <c r="EZ59" s="197">
        <v>0</v>
      </c>
      <c r="FA59" s="197">
        <v>0</v>
      </c>
      <c r="FB59" s="197">
        <v>0</v>
      </c>
      <c r="FC59" s="197">
        <v>0</v>
      </c>
      <c r="FD59" s="197">
        <v>0</v>
      </c>
      <c r="FE59" s="197">
        <v>0</v>
      </c>
      <c r="FF59" s="197">
        <v>0</v>
      </c>
      <c r="FG59" s="197">
        <v>0</v>
      </c>
      <c r="FH59" s="197">
        <v>0</v>
      </c>
      <c r="FI59" s="197">
        <v>0</v>
      </c>
      <c r="FJ59" s="197">
        <v>0</v>
      </c>
      <c r="FK59" s="197">
        <v>0</v>
      </c>
      <c r="FL59" s="227">
        <f>+AVERAGE(DH59:FK61)</f>
        <v>0</v>
      </c>
      <c r="FM59" s="185">
        <v>0</v>
      </c>
      <c r="FN59" s="185">
        <v>0</v>
      </c>
      <c r="FO59" s="185">
        <v>0</v>
      </c>
      <c r="FP59" s="197">
        <v>0</v>
      </c>
      <c r="FQ59" s="185">
        <v>0</v>
      </c>
      <c r="FR59" s="197">
        <v>0</v>
      </c>
      <c r="FS59" s="197">
        <v>0</v>
      </c>
      <c r="FT59" s="197">
        <v>0</v>
      </c>
      <c r="FU59" s="197">
        <v>0</v>
      </c>
      <c r="FV59" s="197">
        <v>0</v>
      </c>
      <c r="FW59" s="197">
        <v>0</v>
      </c>
      <c r="FX59" s="197">
        <v>0</v>
      </c>
      <c r="FY59" s="197">
        <v>0</v>
      </c>
      <c r="FZ59" s="197">
        <v>0</v>
      </c>
      <c r="GA59" s="197">
        <v>0</v>
      </c>
      <c r="GB59" s="197">
        <v>0</v>
      </c>
      <c r="GC59" s="197">
        <v>0</v>
      </c>
      <c r="GD59" s="197">
        <v>0</v>
      </c>
      <c r="GE59" s="197">
        <v>0</v>
      </c>
      <c r="GF59" s="197">
        <v>0</v>
      </c>
      <c r="GG59" s="197">
        <v>0</v>
      </c>
      <c r="GH59" s="197">
        <v>0</v>
      </c>
      <c r="GI59" s="197">
        <v>0</v>
      </c>
      <c r="GJ59" s="197">
        <v>0</v>
      </c>
      <c r="GK59" s="197">
        <v>0</v>
      </c>
      <c r="GL59" s="197">
        <v>0</v>
      </c>
      <c r="GM59" s="197">
        <v>0</v>
      </c>
      <c r="GN59" s="197">
        <v>0</v>
      </c>
      <c r="GO59" s="197">
        <v>0</v>
      </c>
      <c r="GP59" s="197">
        <v>0</v>
      </c>
      <c r="GQ59" s="197">
        <v>0</v>
      </c>
      <c r="GR59" s="197">
        <v>0</v>
      </c>
      <c r="GS59" s="197">
        <v>0</v>
      </c>
      <c r="GT59" s="197">
        <v>0</v>
      </c>
      <c r="GU59" s="197">
        <v>0</v>
      </c>
      <c r="GV59" s="197">
        <v>0</v>
      </c>
      <c r="GW59" s="197">
        <v>0</v>
      </c>
      <c r="GX59" s="197">
        <v>0</v>
      </c>
      <c r="GY59" s="197">
        <v>0</v>
      </c>
      <c r="GZ59" s="197">
        <v>0</v>
      </c>
      <c r="HA59" s="197">
        <v>0</v>
      </c>
      <c r="HB59" s="227">
        <f t="shared" ref="HB59" si="13">+AVERAGE(FM59:HA61)</f>
        <v>0</v>
      </c>
    </row>
    <row r="60" spans="1:210" ht="15" customHeight="1">
      <c r="A60" s="60" t="s">
        <v>25</v>
      </c>
      <c r="B60" s="186"/>
      <c r="C60" s="168"/>
      <c r="D60" s="198"/>
      <c r="E60" s="168"/>
      <c r="F60" s="186"/>
      <c r="G60" s="168"/>
      <c r="H60" s="186"/>
      <c r="I60" s="186"/>
      <c r="J60" s="186"/>
      <c r="K60" s="168"/>
      <c r="L60" s="198"/>
      <c r="M60" s="168"/>
      <c r="N60" s="198"/>
      <c r="O60" s="186"/>
      <c r="P60" s="198"/>
      <c r="Q60" s="198"/>
      <c r="R60" s="195"/>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231"/>
      <c r="DG60" s="228"/>
      <c r="DH60" s="198"/>
      <c r="DI60" s="186"/>
      <c r="DJ60" s="204"/>
      <c r="DK60" s="186"/>
      <c r="DL60" s="186"/>
      <c r="DM60" s="186"/>
      <c r="DN60" s="198"/>
      <c r="DO60" s="186"/>
      <c r="DP60" s="204"/>
      <c r="DQ60" s="198"/>
      <c r="DR60" s="186"/>
      <c r="DS60" s="198"/>
      <c r="DT60" s="198"/>
      <c r="DU60" s="243"/>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228"/>
      <c r="FM60" s="186"/>
      <c r="FN60" s="186"/>
      <c r="FO60" s="186"/>
      <c r="FP60" s="198"/>
      <c r="FQ60" s="186"/>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228"/>
    </row>
    <row r="61" spans="1:210" ht="43" thickBot="1">
      <c r="A61" s="65" t="s">
        <v>721</v>
      </c>
      <c r="B61" s="187"/>
      <c r="C61" s="169"/>
      <c r="D61" s="199"/>
      <c r="E61" s="169"/>
      <c r="F61" s="187"/>
      <c r="G61" s="169"/>
      <c r="H61" s="187"/>
      <c r="I61" s="187"/>
      <c r="J61" s="187"/>
      <c r="K61" s="169"/>
      <c r="L61" s="199"/>
      <c r="M61" s="169"/>
      <c r="N61" s="199"/>
      <c r="O61" s="187"/>
      <c r="P61" s="199"/>
      <c r="Q61" s="199"/>
      <c r="R61" s="196"/>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232"/>
      <c r="DG61" s="229"/>
      <c r="DH61" s="199"/>
      <c r="DI61" s="187"/>
      <c r="DJ61" s="205"/>
      <c r="DK61" s="187"/>
      <c r="DL61" s="187"/>
      <c r="DM61" s="187"/>
      <c r="DN61" s="199"/>
      <c r="DO61" s="187"/>
      <c r="DP61" s="205"/>
      <c r="DQ61" s="199"/>
      <c r="DR61" s="187"/>
      <c r="DS61" s="199"/>
      <c r="DT61" s="199"/>
      <c r="DU61" s="244"/>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229"/>
      <c r="FM61" s="187"/>
      <c r="FN61" s="187"/>
      <c r="FO61" s="187"/>
      <c r="FP61" s="199"/>
      <c r="FQ61" s="187"/>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229"/>
    </row>
    <row r="62" spans="1:210" ht="16" customHeight="1" thickTop="1">
      <c r="A62" s="59" t="s">
        <v>720</v>
      </c>
      <c r="B62" s="185">
        <v>1</v>
      </c>
      <c r="C62" s="167"/>
      <c r="D62" s="197">
        <v>1</v>
      </c>
      <c r="E62" s="167"/>
      <c r="F62" s="185">
        <v>1</v>
      </c>
      <c r="G62" s="167"/>
      <c r="H62" s="197">
        <v>1</v>
      </c>
      <c r="I62" s="197">
        <v>1</v>
      </c>
      <c r="J62" s="185">
        <v>1</v>
      </c>
      <c r="K62" s="167"/>
      <c r="L62" s="197">
        <v>1</v>
      </c>
      <c r="M62" s="167"/>
      <c r="N62" s="197">
        <v>1</v>
      </c>
      <c r="O62" s="185">
        <v>1</v>
      </c>
      <c r="P62" s="197">
        <v>1</v>
      </c>
      <c r="Q62" s="197">
        <v>1</v>
      </c>
      <c r="R62" s="170"/>
      <c r="S62" s="197">
        <v>1</v>
      </c>
      <c r="T62" s="197">
        <v>1</v>
      </c>
      <c r="U62" s="197">
        <v>1</v>
      </c>
      <c r="V62" s="197">
        <v>1</v>
      </c>
      <c r="W62" s="197">
        <v>1</v>
      </c>
      <c r="X62" s="197">
        <v>1</v>
      </c>
      <c r="Y62" s="197">
        <v>1</v>
      </c>
      <c r="Z62" s="197">
        <v>1</v>
      </c>
      <c r="AA62" s="197">
        <v>1</v>
      </c>
      <c r="AB62" s="197">
        <v>1</v>
      </c>
      <c r="AC62" s="197">
        <v>1</v>
      </c>
      <c r="AD62" s="197">
        <v>1</v>
      </c>
      <c r="AE62" s="197">
        <v>1</v>
      </c>
      <c r="AF62" s="197">
        <v>1</v>
      </c>
      <c r="AG62" s="197">
        <v>1</v>
      </c>
      <c r="AH62" s="197">
        <v>1</v>
      </c>
      <c r="AI62" s="197">
        <v>1</v>
      </c>
      <c r="AJ62" s="197">
        <v>1</v>
      </c>
      <c r="AK62" s="197">
        <v>1</v>
      </c>
      <c r="AL62" s="197">
        <v>1</v>
      </c>
      <c r="AM62" s="197">
        <v>1</v>
      </c>
      <c r="AN62" s="197">
        <v>1</v>
      </c>
      <c r="AO62" s="197">
        <v>1</v>
      </c>
      <c r="AP62" s="197">
        <v>1</v>
      </c>
      <c r="AQ62" s="197">
        <v>1</v>
      </c>
      <c r="AR62" s="197">
        <v>1</v>
      </c>
      <c r="AS62" s="197">
        <v>1</v>
      </c>
      <c r="AT62" s="197">
        <v>1</v>
      </c>
      <c r="AU62" s="197">
        <v>1</v>
      </c>
      <c r="AV62" s="197">
        <v>1</v>
      </c>
      <c r="AW62" s="197">
        <v>1</v>
      </c>
      <c r="AX62" s="197">
        <v>1</v>
      </c>
      <c r="AY62" s="197">
        <v>1</v>
      </c>
      <c r="AZ62" s="197">
        <v>1</v>
      </c>
      <c r="BA62" s="197">
        <v>1</v>
      </c>
      <c r="BB62" s="197">
        <v>1</v>
      </c>
      <c r="BC62" s="197">
        <v>1</v>
      </c>
      <c r="BD62" s="197">
        <v>1</v>
      </c>
      <c r="BE62" s="197">
        <v>1</v>
      </c>
      <c r="BF62" s="197">
        <v>1</v>
      </c>
      <c r="BG62" s="197">
        <v>1</v>
      </c>
      <c r="BH62" s="197">
        <v>1</v>
      </c>
      <c r="BI62" s="197">
        <v>1</v>
      </c>
      <c r="BJ62" s="197">
        <v>1</v>
      </c>
      <c r="BK62" s="197">
        <v>1</v>
      </c>
      <c r="BL62" s="197">
        <v>1</v>
      </c>
      <c r="BM62" s="197">
        <v>1</v>
      </c>
      <c r="BN62" s="197">
        <v>1</v>
      </c>
      <c r="BO62" s="197">
        <v>1</v>
      </c>
      <c r="BP62" s="197">
        <v>1</v>
      </c>
      <c r="BQ62" s="197">
        <v>1</v>
      </c>
      <c r="BR62" s="197">
        <v>1</v>
      </c>
      <c r="BS62" s="197">
        <v>1</v>
      </c>
      <c r="BT62" s="197">
        <v>1</v>
      </c>
      <c r="BU62" s="197">
        <v>1</v>
      </c>
      <c r="BV62" s="197">
        <v>1</v>
      </c>
      <c r="BW62" s="197">
        <v>1</v>
      </c>
      <c r="BX62" s="197">
        <v>1</v>
      </c>
      <c r="BY62" s="197">
        <v>1</v>
      </c>
      <c r="BZ62" s="197">
        <v>1</v>
      </c>
      <c r="CA62" s="197">
        <v>1</v>
      </c>
      <c r="CB62" s="197">
        <v>1</v>
      </c>
      <c r="CC62" s="197">
        <v>1</v>
      </c>
      <c r="CD62" s="197">
        <v>1</v>
      </c>
      <c r="CE62" s="197">
        <v>1</v>
      </c>
      <c r="CF62" s="197">
        <v>1</v>
      </c>
      <c r="CG62" s="197">
        <v>1</v>
      </c>
      <c r="CH62" s="197">
        <v>1</v>
      </c>
      <c r="CI62" s="197">
        <v>1</v>
      </c>
      <c r="CJ62" s="197">
        <v>1</v>
      </c>
      <c r="CK62" s="197">
        <v>1</v>
      </c>
      <c r="CL62" s="197">
        <v>1</v>
      </c>
      <c r="CM62" s="197">
        <v>1</v>
      </c>
      <c r="CN62" s="197">
        <v>1</v>
      </c>
      <c r="CO62" s="197">
        <v>1</v>
      </c>
      <c r="CP62" s="197">
        <v>1</v>
      </c>
      <c r="CQ62" s="197">
        <v>1</v>
      </c>
      <c r="CR62" s="197">
        <v>1</v>
      </c>
      <c r="CS62" s="197">
        <v>1</v>
      </c>
      <c r="CT62" s="197">
        <v>1</v>
      </c>
      <c r="CU62" s="197">
        <v>1</v>
      </c>
      <c r="CV62" s="197">
        <v>1</v>
      </c>
      <c r="CW62" s="197">
        <v>1</v>
      </c>
      <c r="CX62" s="197">
        <v>1</v>
      </c>
      <c r="CY62" s="197">
        <v>1</v>
      </c>
      <c r="CZ62" s="197">
        <v>1</v>
      </c>
      <c r="DA62" s="197">
        <v>1</v>
      </c>
      <c r="DB62" s="197">
        <v>1</v>
      </c>
      <c r="DC62" s="197">
        <v>1</v>
      </c>
      <c r="DD62" s="197">
        <v>1</v>
      </c>
      <c r="DE62" s="197">
        <v>1</v>
      </c>
      <c r="DF62" s="230">
        <v>1</v>
      </c>
      <c r="DG62" s="227">
        <f>+AVERAGE(B62:DF64)</f>
        <v>1</v>
      </c>
      <c r="DH62" s="197">
        <v>1</v>
      </c>
      <c r="DI62" s="185">
        <v>1</v>
      </c>
      <c r="DJ62" s="203"/>
      <c r="DK62" s="197">
        <v>1</v>
      </c>
      <c r="DL62" s="197">
        <v>1</v>
      </c>
      <c r="DM62" s="185">
        <v>1</v>
      </c>
      <c r="DN62" s="197">
        <v>1</v>
      </c>
      <c r="DO62" s="185">
        <v>1</v>
      </c>
      <c r="DP62" s="203"/>
      <c r="DQ62" s="197">
        <v>1</v>
      </c>
      <c r="DR62" s="185">
        <v>1</v>
      </c>
      <c r="DS62" s="197">
        <v>1</v>
      </c>
      <c r="DT62" s="197">
        <v>1</v>
      </c>
      <c r="DU62" s="233"/>
      <c r="DV62" s="197">
        <v>1</v>
      </c>
      <c r="DW62" s="197">
        <v>1</v>
      </c>
      <c r="DX62" s="197">
        <v>1</v>
      </c>
      <c r="DY62" s="197">
        <v>1</v>
      </c>
      <c r="DZ62" s="197">
        <v>1</v>
      </c>
      <c r="EA62" s="197">
        <v>1</v>
      </c>
      <c r="EB62" s="197">
        <v>1</v>
      </c>
      <c r="EC62" s="197">
        <v>1</v>
      </c>
      <c r="ED62" s="197">
        <v>1</v>
      </c>
      <c r="EE62" s="197">
        <v>1</v>
      </c>
      <c r="EF62" s="197">
        <v>1</v>
      </c>
      <c r="EG62" s="197">
        <v>1</v>
      </c>
      <c r="EH62" s="197">
        <v>1</v>
      </c>
      <c r="EI62" s="197">
        <v>1</v>
      </c>
      <c r="EJ62" s="197">
        <v>1</v>
      </c>
      <c r="EK62" s="197">
        <v>1</v>
      </c>
      <c r="EL62" s="197">
        <v>1</v>
      </c>
      <c r="EM62" s="197">
        <v>1</v>
      </c>
      <c r="EN62" s="197">
        <v>1</v>
      </c>
      <c r="EO62" s="197">
        <v>1</v>
      </c>
      <c r="EP62" s="197">
        <v>1</v>
      </c>
      <c r="EQ62" s="197">
        <v>1</v>
      </c>
      <c r="ER62" s="197">
        <v>1</v>
      </c>
      <c r="ES62" s="197">
        <v>1</v>
      </c>
      <c r="ET62" s="197">
        <v>1</v>
      </c>
      <c r="EU62" s="197">
        <v>1</v>
      </c>
      <c r="EV62" s="197">
        <v>1</v>
      </c>
      <c r="EW62" s="197">
        <v>1</v>
      </c>
      <c r="EX62" s="197">
        <v>1</v>
      </c>
      <c r="EY62" s="197">
        <v>1</v>
      </c>
      <c r="EZ62" s="197">
        <v>1</v>
      </c>
      <c r="FA62" s="197">
        <v>1</v>
      </c>
      <c r="FB62" s="197">
        <v>1</v>
      </c>
      <c r="FC62" s="197">
        <v>1</v>
      </c>
      <c r="FD62" s="197">
        <v>1</v>
      </c>
      <c r="FE62" s="197">
        <v>1</v>
      </c>
      <c r="FF62" s="197">
        <v>1</v>
      </c>
      <c r="FG62" s="197">
        <v>1</v>
      </c>
      <c r="FH62" s="197">
        <v>1</v>
      </c>
      <c r="FI62" s="197">
        <v>1</v>
      </c>
      <c r="FJ62" s="197">
        <v>1</v>
      </c>
      <c r="FK62" s="197">
        <v>1</v>
      </c>
      <c r="FL62" s="227">
        <f>+AVERAGE(DH62:FK64)</f>
        <v>1</v>
      </c>
      <c r="FM62" s="185">
        <v>1</v>
      </c>
      <c r="FN62" s="197">
        <v>1</v>
      </c>
      <c r="FO62" s="197">
        <v>1</v>
      </c>
      <c r="FP62" s="197">
        <v>1</v>
      </c>
      <c r="FQ62" s="185">
        <v>1</v>
      </c>
      <c r="FR62" s="197">
        <v>1</v>
      </c>
      <c r="FS62" s="197">
        <v>1</v>
      </c>
      <c r="FT62" s="197">
        <v>1</v>
      </c>
      <c r="FU62" s="197">
        <v>1</v>
      </c>
      <c r="FV62" s="197">
        <v>1</v>
      </c>
      <c r="FW62" s="197">
        <v>1</v>
      </c>
      <c r="FX62" s="197">
        <v>1</v>
      </c>
      <c r="FY62" s="197">
        <v>1</v>
      </c>
      <c r="FZ62" s="197">
        <v>1</v>
      </c>
      <c r="GA62" s="197">
        <v>1</v>
      </c>
      <c r="GB62" s="197">
        <v>1</v>
      </c>
      <c r="GC62" s="197">
        <v>1</v>
      </c>
      <c r="GD62" s="197">
        <v>1</v>
      </c>
      <c r="GE62" s="197">
        <v>1</v>
      </c>
      <c r="GF62" s="197">
        <v>1</v>
      </c>
      <c r="GG62" s="197">
        <v>1</v>
      </c>
      <c r="GH62" s="197">
        <v>1</v>
      </c>
      <c r="GI62" s="197">
        <v>1</v>
      </c>
      <c r="GJ62" s="197">
        <v>1</v>
      </c>
      <c r="GK62" s="197">
        <v>1</v>
      </c>
      <c r="GL62" s="197">
        <v>1</v>
      </c>
      <c r="GM62" s="197">
        <v>1</v>
      </c>
      <c r="GN62" s="197">
        <v>1</v>
      </c>
      <c r="GO62" s="197">
        <v>1</v>
      </c>
      <c r="GP62" s="197">
        <v>1</v>
      </c>
      <c r="GQ62" s="197">
        <v>1</v>
      </c>
      <c r="GR62" s="197">
        <v>1</v>
      </c>
      <c r="GS62" s="197">
        <v>1</v>
      </c>
      <c r="GT62" s="197">
        <v>1</v>
      </c>
      <c r="GU62" s="197">
        <v>1</v>
      </c>
      <c r="GV62" s="197">
        <v>1</v>
      </c>
      <c r="GW62" s="197">
        <v>1</v>
      </c>
      <c r="GX62" s="197">
        <v>1</v>
      </c>
      <c r="GY62" s="197">
        <v>1</v>
      </c>
      <c r="GZ62" s="197">
        <v>1</v>
      </c>
      <c r="HA62" s="197">
        <v>1</v>
      </c>
      <c r="HB62" s="227">
        <f t="shared" ref="HB62" si="14">+AVERAGE(FM62:HA64)</f>
        <v>1</v>
      </c>
    </row>
    <row r="63" spans="1:210" ht="15" customHeight="1">
      <c r="A63" s="60"/>
      <c r="B63" s="186"/>
      <c r="C63" s="168"/>
      <c r="D63" s="198"/>
      <c r="E63" s="168"/>
      <c r="F63" s="186"/>
      <c r="G63" s="168"/>
      <c r="H63" s="198"/>
      <c r="I63" s="198"/>
      <c r="J63" s="186"/>
      <c r="K63" s="168"/>
      <c r="L63" s="198"/>
      <c r="M63" s="168"/>
      <c r="N63" s="198"/>
      <c r="O63" s="186"/>
      <c r="P63" s="198"/>
      <c r="Q63" s="198"/>
      <c r="R63" s="171"/>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231"/>
      <c r="DG63" s="228"/>
      <c r="DH63" s="198"/>
      <c r="DI63" s="186"/>
      <c r="DJ63" s="204"/>
      <c r="DK63" s="198"/>
      <c r="DL63" s="198"/>
      <c r="DM63" s="186"/>
      <c r="DN63" s="198"/>
      <c r="DO63" s="186"/>
      <c r="DP63" s="204"/>
      <c r="DQ63" s="198"/>
      <c r="DR63" s="186"/>
      <c r="DS63" s="198"/>
      <c r="DT63" s="198"/>
      <c r="DU63" s="234"/>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228"/>
      <c r="FM63" s="186"/>
      <c r="FN63" s="198"/>
      <c r="FO63" s="198"/>
      <c r="FP63" s="198"/>
      <c r="FQ63" s="186"/>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228"/>
    </row>
    <row r="64" spans="1:210" ht="57" thickBot="1">
      <c r="A64" s="57" t="s">
        <v>719</v>
      </c>
      <c r="B64" s="187"/>
      <c r="C64" s="169"/>
      <c r="D64" s="199"/>
      <c r="E64" s="169"/>
      <c r="F64" s="187"/>
      <c r="G64" s="169"/>
      <c r="H64" s="199"/>
      <c r="I64" s="199"/>
      <c r="J64" s="187"/>
      <c r="K64" s="169"/>
      <c r="L64" s="199"/>
      <c r="M64" s="169"/>
      <c r="N64" s="199"/>
      <c r="O64" s="187"/>
      <c r="P64" s="199"/>
      <c r="Q64" s="199"/>
      <c r="R64" s="172"/>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232"/>
      <c r="DG64" s="229"/>
      <c r="DH64" s="199"/>
      <c r="DI64" s="187"/>
      <c r="DJ64" s="205"/>
      <c r="DK64" s="199"/>
      <c r="DL64" s="199"/>
      <c r="DM64" s="187"/>
      <c r="DN64" s="199"/>
      <c r="DO64" s="187"/>
      <c r="DP64" s="205"/>
      <c r="DQ64" s="199"/>
      <c r="DR64" s="187"/>
      <c r="DS64" s="199"/>
      <c r="DT64" s="199"/>
      <c r="DU64" s="235"/>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229"/>
      <c r="FM64" s="187"/>
      <c r="FN64" s="199"/>
      <c r="FO64" s="199"/>
      <c r="FP64" s="199"/>
      <c r="FQ64" s="187"/>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229"/>
    </row>
    <row r="65" spans="1:210" ht="16" customHeight="1" thickTop="1">
      <c r="A65" s="59" t="s">
        <v>718</v>
      </c>
      <c r="B65" s="185">
        <v>0</v>
      </c>
      <c r="C65" s="167" t="s">
        <v>845</v>
      </c>
      <c r="D65" s="197">
        <v>1</v>
      </c>
      <c r="E65" s="167" t="s">
        <v>846</v>
      </c>
      <c r="F65" s="185">
        <v>0</v>
      </c>
      <c r="G65" s="167" t="s">
        <v>866</v>
      </c>
      <c r="H65" s="197">
        <v>1</v>
      </c>
      <c r="I65" s="197">
        <v>0</v>
      </c>
      <c r="J65" s="185">
        <v>0</v>
      </c>
      <c r="K65" s="167" t="s">
        <v>874</v>
      </c>
      <c r="L65" s="197">
        <v>0</v>
      </c>
      <c r="M65" s="167" t="s">
        <v>883</v>
      </c>
      <c r="N65" s="197">
        <v>0</v>
      </c>
      <c r="O65" s="185">
        <v>0</v>
      </c>
      <c r="P65" s="197">
        <v>0</v>
      </c>
      <c r="Q65" s="197">
        <v>0</v>
      </c>
      <c r="R65" s="170" t="s">
        <v>831</v>
      </c>
      <c r="S65" s="197">
        <v>0</v>
      </c>
      <c r="T65" s="197">
        <v>0</v>
      </c>
      <c r="U65" s="197">
        <v>0</v>
      </c>
      <c r="V65" s="197">
        <v>0</v>
      </c>
      <c r="W65" s="197">
        <v>1</v>
      </c>
      <c r="X65" s="197">
        <v>1</v>
      </c>
      <c r="Y65" s="197">
        <v>1</v>
      </c>
      <c r="Z65" s="197">
        <v>1</v>
      </c>
      <c r="AA65" s="197">
        <v>1</v>
      </c>
      <c r="AB65" s="197">
        <v>1</v>
      </c>
      <c r="AC65" s="197">
        <v>1</v>
      </c>
      <c r="AD65" s="197">
        <v>1</v>
      </c>
      <c r="AE65" s="197">
        <v>1</v>
      </c>
      <c r="AF65" s="197">
        <v>1</v>
      </c>
      <c r="AG65" s="197">
        <v>1</v>
      </c>
      <c r="AH65" s="197">
        <v>1</v>
      </c>
      <c r="AI65" s="197">
        <v>1</v>
      </c>
      <c r="AJ65" s="197">
        <v>1</v>
      </c>
      <c r="AK65" s="197">
        <v>1</v>
      </c>
      <c r="AL65" s="197">
        <v>1</v>
      </c>
      <c r="AM65" s="197">
        <v>1</v>
      </c>
      <c r="AN65" s="197">
        <v>1</v>
      </c>
      <c r="AO65" s="197">
        <v>1</v>
      </c>
      <c r="AP65" s="197">
        <v>1</v>
      </c>
      <c r="AQ65" s="197">
        <v>1</v>
      </c>
      <c r="AR65" s="197">
        <v>1</v>
      </c>
      <c r="AS65" s="197">
        <v>1</v>
      </c>
      <c r="AT65" s="197">
        <v>1</v>
      </c>
      <c r="AU65" s="197">
        <v>1</v>
      </c>
      <c r="AV65" s="197">
        <v>1</v>
      </c>
      <c r="AW65" s="197">
        <v>1</v>
      </c>
      <c r="AX65" s="197">
        <v>1</v>
      </c>
      <c r="AY65" s="197">
        <v>1</v>
      </c>
      <c r="AZ65" s="197">
        <v>1</v>
      </c>
      <c r="BA65" s="197">
        <v>1</v>
      </c>
      <c r="BB65" s="197">
        <v>1</v>
      </c>
      <c r="BC65" s="197">
        <v>1</v>
      </c>
      <c r="BD65" s="197">
        <v>1</v>
      </c>
      <c r="BE65" s="197">
        <v>1</v>
      </c>
      <c r="BF65" s="197">
        <v>1</v>
      </c>
      <c r="BG65" s="197">
        <v>1</v>
      </c>
      <c r="BH65" s="197">
        <v>1</v>
      </c>
      <c r="BI65" s="197">
        <v>1</v>
      </c>
      <c r="BJ65" s="197">
        <v>1</v>
      </c>
      <c r="BK65" s="197">
        <v>1</v>
      </c>
      <c r="BL65" s="197">
        <v>1</v>
      </c>
      <c r="BM65" s="197">
        <v>1</v>
      </c>
      <c r="BN65" s="197">
        <v>1</v>
      </c>
      <c r="BO65" s="197">
        <v>1</v>
      </c>
      <c r="BP65" s="197">
        <v>1</v>
      </c>
      <c r="BQ65" s="197">
        <v>1</v>
      </c>
      <c r="BR65" s="197">
        <v>1</v>
      </c>
      <c r="BS65" s="197">
        <v>1</v>
      </c>
      <c r="BT65" s="197">
        <v>1</v>
      </c>
      <c r="BU65" s="197">
        <v>1</v>
      </c>
      <c r="BV65" s="197">
        <v>1</v>
      </c>
      <c r="BW65" s="197">
        <v>1</v>
      </c>
      <c r="BX65" s="197">
        <v>1</v>
      </c>
      <c r="BY65" s="197">
        <v>1</v>
      </c>
      <c r="BZ65" s="197">
        <v>1</v>
      </c>
      <c r="CA65" s="197">
        <v>1</v>
      </c>
      <c r="CB65" s="197">
        <v>1</v>
      </c>
      <c r="CC65" s="197">
        <v>1</v>
      </c>
      <c r="CD65" s="197">
        <v>1</v>
      </c>
      <c r="CE65" s="197">
        <v>1</v>
      </c>
      <c r="CF65" s="197">
        <v>1</v>
      </c>
      <c r="CG65" s="197">
        <v>1</v>
      </c>
      <c r="CH65" s="197">
        <v>1</v>
      </c>
      <c r="CI65" s="197">
        <v>1</v>
      </c>
      <c r="CJ65" s="197">
        <v>1</v>
      </c>
      <c r="CK65" s="197">
        <v>1</v>
      </c>
      <c r="CL65" s="197">
        <v>1</v>
      </c>
      <c r="CM65" s="197">
        <v>1</v>
      </c>
      <c r="CN65" s="197">
        <v>1</v>
      </c>
      <c r="CO65" s="197">
        <v>1</v>
      </c>
      <c r="CP65" s="197">
        <v>1</v>
      </c>
      <c r="CQ65" s="197">
        <v>1</v>
      </c>
      <c r="CR65" s="197">
        <v>1</v>
      </c>
      <c r="CS65" s="197">
        <v>1</v>
      </c>
      <c r="CT65" s="197">
        <v>1</v>
      </c>
      <c r="CU65" s="197">
        <v>1</v>
      </c>
      <c r="CV65" s="197">
        <v>1</v>
      </c>
      <c r="CW65" s="197">
        <v>1</v>
      </c>
      <c r="CX65" s="197">
        <v>1</v>
      </c>
      <c r="CY65" s="197">
        <v>1</v>
      </c>
      <c r="CZ65" s="197">
        <v>1</v>
      </c>
      <c r="DA65" s="197">
        <v>1</v>
      </c>
      <c r="DB65" s="197">
        <v>1</v>
      </c>
      <c r="DC65" s="197">
        <v>1</v>
      </c>
      <c r="DD65" s="197">
        <v>1</v>
      </c>
      <c r="DE65" s="197">
        <v>1</v>
      </c>
      <c r="DF65" s="230">
        <v>1</v>
      </c>
      <c r="DG65" s="227">
        <f>+AVERAGE(B65:DF67)</f>
        <v>0.87378640776699024</v>
      </c>
      <c r="DH65" s="197">
        <v>1</v>
      </c>
      <c r="DI65" s="185">
        <v>1</v>
      </c>
      <c r="DJ65" s="203"/>
      <c r="DK65" s="197">
        <v>1</v>
      </c>
      <c r="DL65" s="197">
        <v>1</v>
      </c>
      <c r="DM65" s="185">
        <v>1</v>
      </c>
      <c r="DN65" s="197">
        <v>1</v>
      </c>
      <c r="DO65" s="185">
        <v>1</v>
      </c>
      <c r="DP65" s="203"/>
      <c r="DQ65" s="197">
        <v>1</v>
      </c>
      <c r="DR65" s="185">
        <v>1</v>
      </c>
      <c r="DS65" s="197">
        <v>0</v>
      </c>
      <c r="DT65" s="197">
        <v>1</v>
      </c>
      <c r="DU65" s="233"/>
      <c r="DV65" s="197">
        <v>1</v>
      </c>
      <c r="DW65" s="197">
        <v>1</v>
      </c>
      <c r="DX65" s="197">
        <v>1</v>
      </c>
      <c r="DY65" s="197">
        <v>1</v>
      </c>
      <c r="DZ65" s="197">
        <v>1</v>
      </c>
      <c r="EA65" s="197">
        <v>1</v>
      </c>
      <c r="EB65" s="197">
        <v>1</v>
      </c>
      <c r="EC65" s="197">
        <v>1</v>
      </c>
      <c r="ED65" s="197">
        <v>1</v>
      </c>
      <c r="EE65" s="197">
        <v>1</v>
      </c>
      <c r="EF65" s="197">
        <v>1</v>
      </c>
      <c r="EG65" s="197">
        <v>1</v>
      </c>
      <c r="EH65" s="197">
        <v>1</v>
      </c>
      <c r="EI65" s="197">
        <v>1</v>
      </c>
      <c r="EJ65" s="197">
        <v>1</v>
      </c>
      <c r="EK65" s="197">
        <v>1</v>
      </c>
      <c r="EL65" s="197">
        <v>1</v>
      </c>
      <c r="EM65" s="197">
        <v>1</v>
      </c>
      <c r="EN65" s="197">
        <v>1</v>
      </c>
      <c r="EO65" s="197">
        <v>1</v>
      </c>
      <c r="EP65" s="197">
        <v>1</v>
      </c>
      <c r="EQ65" s="197">
        <v>1</v>
      </c>
      <c r="ER65" s="197">
        <v>1</v>
      </c>
      <c r="ES65" s="197">
        <v>1</v>
      </c>
      <c r="ET65" s="197">
        <v>1</v>
      </c>
      <c r="EU65" s="197">
        <v>1</v>
      </c>
      <c r="EV65" s="197">
        <v>1</v>
      </c>
      <c r="EW65" s="197">
        <v>1</v>
      </c>
      <c r="EX65" s="197">
        <v>1</v>
      </c>
      <c r="EY65" s="197">
        <v>1</v>
      </c>
      <c r="EZ65" s="197">
        <v>1</v>
      </c>
      <c r="FA65" s="197">
        <v>1</v>
      </c>
      <c r="FB65" s="197">
        <v>1</v>
      </c>
      <c r="FC65" s="197">
        <v>1</v>
      </c>
      <c r="FD65" s="197">
        <v>1</v>
      </c>
      <c r="FE65" s="197">
        <v>1</v>
      </c>
      <c r="FF65" s="197">
        <v>1</v>
      </c>
      <c r="FG65" s="197">
        <v>1</v>
      </c>
      <c r="FH65" s="197">
        <v>1</v>
      </c>
      <c r="FI65" s="197">
        <v>1</v>
      </c>
      <c r="FJ65" s="197">
        <v>1</v>
      </c>
      <c r="FK65" s="197">
        <v>1</v>
      </c>
      <c r="FL65" s="227">
        <f>+AVERAGE(DH65:FK67)</f>
        <v>0.98113207547169812</v>
      </c>
      <c r="FM65" s="185">
        <v>1</v>
      </c>
      <c r="FN65" s="197">
        <v>1</v>
      </c>
      <c r="FO65" s="197">
        <v>1</v>
      </c>
      <c r="FP65" s="197">
        <v>1</v>
      </c>
      <c r="FQ65" s="185">
        <v>1</v>
      </c>
      <c r="FR65" s="197">
        <v>0</v>
      </c>
      <c r="FS65" s="197">
        <v>1</v>
      </c>
      <c r="FT65" s="197">
        <v>1</v>
      </c>
      <c r="FU65" s="197">
        <v>1</v>
      </c>
      <c r="FV65" s="197">
        <v>1</v>
      </c>
      <c r="FW65" s="197">
        <v>1</v>
      </c>
      <c r="FX65" s="197">
        <v>1</v>
      </c>
      <c r="FY65" s="197">
        <v>1</v>
      </c>
      <c r="FZ65" s="197">
        <v>1</v>
      </c>
      <c r="GA65" s="197">
        <v>1</v>
      </c>
      <c r="GB65" s="197">
        <v>1</v>
      </c>
      <c r="GC65" s="197">
        <v>1</v>
      </c>
      <c r="GD65" s="197">
        <v>1</v>
      </c>
      <c r="GE65" s="197">
        <v>1</v>
      </c>
      <c r="GF65" s="197">
        <v>1</v>
      </c>
      <c r="GG65" s="197">
        <v>1</v>
      </c>
      <c r="GH65" s="197">
        <v>1</v>
      </c>
      <c r="GI65" s="197">
        <v>1</v>
      </c>
      <c r="GJ65" s="197">
        <v>1</v>
      </c>
      <c r="GK65" s="197">
        <v>1</v>
      </c>
      <c r="GL65" s="197">
        <v>1</v>
      </c>
      <c r="GM65" s="197">
        <v>1</v>
      </c>
      <c r="GN65" s="197">
        <v>1</v>
      </c>
      <c r="GO65" s="197">
        <v>1</v>
      </c>
      <c r="GP65" s="197">
        <v>1</v>
      </c>
      <c r="GQ65" s="197">
        <v>1</v>
      </c>
      <c r="GR65" s="197">
        <v>1</v>
      </c>
      <c r="GS65" s="197">
        <v>1</v>
      </c>
      <c r="GT65" s="197">
        <v>1</v>
      </c>
      <c r="GU65" s="197">
        <v>1</v>
      </c>
      <c r="GV65" s="197">
        <v>1</v>
      </c>
      <c r="GW65" s="197">
        <v>1</v>
      </c>
      <c r="GX65" s="197">
        <v>1</v>
      </c>
      <c r="GY65" s="197">
        <v>1</v>
      </c>
      <c r="GZ65" s="197">
        <v>1</v>
      </c>
      <c r="HA65" s="197">
        <v>1</v>
      </c>
      <c r="HB65" s="227">
        <f t="shared" ref="HB65" si="15">+AVERAGE(FM65:HA67)</f>
        <v>0.97560975609756095</v>
      </c>
    </row>
    <row r="66" spans="1:210" ht="15" customHeight="1">
      <c r="A66" s="60" t="s">
        <v>25</v>
      </c>
      <c r="B66" s="186"/>
      <c r="C66" s="168"/>
      <c r="D66" s="198"/>
      <c r="E66" s="168"/>
      <c r="F66" s="186"/>
      <c r="G66" s="168"/>
      <c r="H66" s="198"/>
      <c r="I66" s="198"/>
      <c r="J66" s="186"/>
      <c r="K66" s="168"/>
      <c r="L66" s="198"/>
      <c r="M66" s="168"/>
      <c r="N66" s="198"/>
      <c r="O66" s="186"/>
      <c r="P66" s="198"/>
      <c r="Q66" s="198"/>
      <c r="R66" s="171"/>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231"/>
      <c r="DG66" s="228"/>
      <c r="DH66" s="198"/>
      <c r="DI66" s="186"/>
      <c r="DJ66" s="204"/>
      <c r="DK66" s="198"/>
      <c r="DL66" s="198"/>
      <c r="DM66" s="186"/>
      <c r="DN66" s="198"/>
      <c r="DO66" s="186"/>
      <c r="DP66" s="204"/>
      <c r="DQ66" s="198"/>
      <c r="DR66" s="186"/>
      <c r="DS66" s="198"/>
      <c r="DT66" s="198"/>
      <c r="DU66" s="234"/>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228"/>
      <c r="FM66" s="186"/>
      <c r="FN66" s="198"/>
      <c r="FO66" s="198"/>
      <c r="FP66" s="198"/>
      <c r="FQ66" s="186"/>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228"/>
    </row>
    <row r="67" spans="1:210" ht="16" customHeight="1" thickBot="1">
      <c r="A67" s="57" t="s">
        <v>717</v>
      </c>
      <c r="B67" s="187"/>
      <c r="C67" s="169"/>
      <c r="D67" s="199"/>
      <c r="E67" s="169"/>
      <c r="F67" s="187"/>
      <c r="G67" s="169"/>
      <c r="H67" s="199"/>
      <c r="I67" s="199"/>
      <c r="J67" s="187"/>
      <c r="K67" s="169"/>
      <c r="L67" s="199"/>
      <c r="M67" s="169"/>
      <c r="N67" s="199"/>
      <c r="O67" s="187"/>
      <c r="P67" s="199"/>
      <c r="Q67" s="199"/>
      <c r="R67" s="172"/>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232"/>
      <c r="DG67" s="229"/>
      <c r="DH67" s="199"/>
      <c r="DI67" s="187"/>
      <c r="DJ67" s="205"/>
      <c r="DK67" s="199"/>
      <c r="DL67" s="199"/>
      <c r="DM67" s="187"/>
      <c r="DN67" s="199"/>
      <c r="DO67" s="187"/>
      <c r="DP67" s="205"/>
      <c r="DQ67" s="199"/>
      <c r="DR67" s="187"/>
      <c r="DS67" s="199"/>
      <c r="DT67" s="199"/>
      <c r="DU67" s="235"/>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229"/>
      <c r="FM67" s="187"/>
      <c r="FN67" s="199"/>
      <c r="FO67" s="199"/>
      <c r="FP67" s="199"/>
      <c r="FQ67" s="187"/>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229"/>
    </row>
    <row r="68" spans="1:210" ht="16" customHeight="1" thickTop="1">
      <c r="A68" s="59" t="s">
        <v>716</v>
      </c>
      <c r="B68" s="185">
        <v>1</v>
      </c>
      <c r="C68" s="167" t="s">
        <v>821</v>
      </c>
      <c r="D68" s="197">
        <v>1</v>
      </c>
      <c r="E68" s="167" t="s">
        <v>821</v>
      </c>
      <c r="F68" s="185">
        <v>1</v>
      </c>
      <c r="G68" s="167"/>
      <c r="H68" s="197">
        <v>1</v>
      </c>
      <c r="I68" s="197">
        <v>1</v>
      </c>
      <c r="J68" s="185">
        <v>1</v>
      </c>
      <c r="K68" s="167" t="s">
        <v>821</v>
      </c>
      <c r="L68" s="197">
        <v>1</v>
      </c>
      <c r="M68" s="167"/>
      <c r="N68" s="197">
        <v>1</v>
      </c>
      <c r="O68" s="185">
        <v>1</v>
      </c>
      <c r="P68" s="197">
        <v>1</v>
      </c>
      <c r="Q68" s="197">
        <v>1</v>
      </c>
      <c r="R68" s="170" t="s">
        <v>821</v>
      </c>
      <c r="S68" s="197">
        <v>1</v>
      </c>
      <c r="T68" s="197">
        <v>1</v>
      </c>
      <c r="U68" s="197">
        <v>1</v>
      </c>
      <c r="V68" s="197">
        <v>1</v>
      </c>
      <c r="W68" s="197">
        <v>1</v>
      </c>
      <c r="X68" s="197">
        <v>1</v>
      </c>
      <c r="Y68" s="197">
        <v>1</v>
      </c>
      <c r="Z68" s="197">
        <v>1</v>
      </c>
      <c r="AA68" s="197">
        <v>1</v>
      </c>
      <c r="AB68" s="197">
        <v>1</v>
      </c>
      <c r="AC68" s="197">
        <v>1</v>
      </c>
      <c r="AD68" s="197">
        <v>1</v>
      </c>
      <c r="AE68" s="197">
        <v>1</v>
      </c>
      <c r="AF68" s="197">
        <v>1</v>
      </c>
      <c r="AG68" s="197">
        <v>1</v>
      </c>
      <c r="AH68" s="197">
        <v>1</v>
      </c>
      <c r="AI68" s="197">
        <v>1</v>
      </c>
      <c r="AJ68" s="197">
        <v>1</v>
      </c>
      <c r="AK68" s="197">
        <v>1</v>
      </c>
      <c r="AL68" s="197">
        <v>1</v>
      </c>
      <c r="AM68" s="197">
        <v>1</v>
      </c>
      <c r="AN68" s="197">
        <v>1</v>
      </c>
      <c r="AO68" s="197">
        <v>1</v>
      </c>
      <c r="AP68" s="197">
        <v>1</v>
      </c>
      <c r="AQ68" s="197">
        <v>1</v>
      </c>
      <c r="AR68" s="197">
        <v>1</v>
      </c>
      <c r="AS68" s="197">
        <v>1</v>
      </c>
      <c r="AT68" s="197">
        <v>1</v>
      </c>
      <c r="AU68" s="197">
        <v>1</v>
      </c>
      <c r="AV68" s="197">
        <v>1</v>
      </c>
      <c r="AW68" s="197">
        <v>1</v>
      </c>
      <c r="AX68" s="197">
        <v>1</v>
      </c>
      <c r="AY68" s="197">
        <v>1</v>
      </c>
      <c r="AZ68" s="197">
        <v>1</v>
      </c>
      <c r="BA68" s="197">
        <v>1</v>
      </c>
      <c r="BB68" s="197">
        <v>1</v>
      </c>
      <c r="BC68" s="197">
        <v>1</v>
      </c>
      <c r="BD68" s="197">
        <v>1</v>
      </c>
      <c r="BE68" s="197">
        <v>1</v>
      </c>
      <c r="BF68" s="197">
        <v>1</v>
      </c>
      <c r="BG68" s="197">
        <v>1</v>
      </c>
      <c r="BH68" s="197">
        <v>1</v>
      </c>
      <c r="BI68" s="197">
        <v>1</v>
      </c>
      <c r="BJ68" s="197">
        <v>1</v>
      </c>
      <c r="BK68" s="197">
        <v>1</v>
      </c>
      <c r="BL68" s="197">
        <v>1</v>
      </c>
      <c r="BM68" s="197">
        <v>1</v>
      </c>
      <c r="BN68" s="197">
        <v>1</v>
      </c>
      <c r="BO68" s="197">
        <v>1</v>
      </c>
      <c r="BP68" s="197">
        <v>1</v>
      </c>
      <c r="BQ68" s="197">
        <v>1</v>
      </c>
      <c r="BR68" s="197">
        <v>1</v>
      </c>
      <c r="BS68" s="197">
        <v>1</v>
      </c>
      <c r="BT68" s="197">
        <v>1</v>
      </c>
      <c r="BU68" s="197">
        <v>1</v>
      </c>
      <c r="BV68" s="197">
        <v>1</v>
      </c>
      <c r="BW68" s="197">
        <v>1</v>
      </c>
      <c r="BX68" s="197">
        <v>1</v>
      </c>
      <c r="BY68" s="197">
        <v>1</v>
      </c>
      <c r="BZ68" s="197">
        <v>1</v>
      </c>
      <c r="CA68" s="197">
        <v>1</v>
      </c>
      <c r="CB68" s="197">
        <v>1</v>
      </c>
      <c r="CC68" s="197">
        <v>1</v>
      </c>
      <c r="CD68" s="197">
        <v>1</v>
      </c>
      <c r="CE68" s="197">
        <v>1</v>
      </c>
      <c r="CF68" s="197">
        <v>1</v>
      </c>
      <c r="CG68" s="197">
        <v>1</v>
      </c>
      <c r="CH68" s="197">
        <v>1</v>
      </c>
      <c r="CI68" s="197">
        <v>1</v>
      </c>
      <c r="CJ68" s="197">
        <v>1</v>
      </c>
      <c r="CK68" s="197">
        <v>1</v>
      </c>
      <c r="CL68" s="197">
        <v>1</v>
      </c>
      <c r="CM68" s="197">
        <v>1</v>
      </c>
      <c r="CN68" s="197">
        <v>1</v>
      </c>
      <c r="CO68" s="197">
        <v>1</v>
      </c>
      <c r="CP68" s="197">
        <v>1</v>
      </c>
      <c r="CQ68" s="197">
        <v>1</v>
      </c>
      <c r="CR68" s="197">
        <v>1</v>
      </c>
      <c r="CS68" s="197">
        <v>1</v>
      </c>
      <c r="CT68" s="197">
        <v>1</v>
      </c>
      <c r="CU68" s="197">
        <v>1</v>
      </c>
      <c r="CV68" s="197">
        <v>1</v>
      </c>
      <c r="CW68" s="197">
        <v>1</v>
      </c>
      <c r="CX68" s="197">
        <v>1</v>
      </c>
      <c r="CY68" s="197">
        <v>1</v>
      </c>
      <c r="CZ68" s="197">
        <v>1</v>
      </c>
      <c r="DA68" s="197">
        <v>1</v>
      </c>
      <c r="DB68" s="197">
        <v>1</v>
      </c>
      <c r="DC68" s="197">
        <v>1</v>
      </c>
      <c r="DD68" s="197">
        <v>1</v>
      </c>
      <c r="DE68" s="197">
        <v>1</v>
      </c>
      <c r="DF68" s="230">
        <v>1</v>
      </c>
      <c r="DG68" s="227">
        <f>+AVERAGE(B68:DF70)</f>
        <v>1</v>
      </c>
      <c r="DH68" s="197">
        <v>1</v>
      </c>
      <c r="DI68" s="185">
        <v>1</v>
      </c>
      <c r="DJ68" s="203"/>
      <c r="DK68" s="197">
        <v>1</v>
      </c>
      <c r="DL68" s="197">
        <v>1</v>
      </c>
      <c r="DM68" s="185">
        <v>1</v>
      </c>
      <c r="DN68" s="197">
        <v>1</v>
      </c>
      <c r="DO68" s="185">
        <v>1</v>
      </c>
      <c r="DP68" s="203"/>
      <c r="DQ68" s="197">
        <v>1</v>
      </c>
      <c r="DR68" s="185">
        <v>1</v>
      </c>
      <c r="DS68" s="197">
        <v>1</v>
      </c>
      <c r="DT68" s="197">
        <v>1</v>
      </c>
      <c r="DU68" s="233"/>
      <c r="DV68" s="197">
        <v>1</v>
      </c>
      <c r="DW68" s="197">
        <v>1</v>
      </c>
      <c r="DX68" s="197">
        <v>1</v>
      </c>
      <c r="DY68" s="197">
        <v>1</v>
      </c>
      <c r="DZ68" s="197">
        <v>1</v>
      </c>
      <c r="EA68" s="197">
        <v>1</v>
      </c>
      <c r="EB68" s="197">
        <v>1</v>
      </c>
      <c r="EC68" s="197">
        <v>1</v>
      </c>
      <c r="ED68" s="197">
        <v>1</v>
      </c>
      <c r="EE68" s="197">
        <v>1</v>
      </c>
      <c r="EF68" s="197">
        <v>1</v>
      </c>
      <c r="EG68" s="197">
        <v>1</v>
      </c>
      <c r="EH68" s="197">
        <v>1</v>
      </c>
      <c r="EI68" s="197">
        <v>1</v>
      </c>
      <c r="EJ68" s="197">
        <v>1</v>
      </c>
      <c r="EK68" s="197">
        <v>1</v>
      </c>
      <c r="EL68" s="197">
        <v>1</v>
      </c>
      <c r="EM68" s="197">
        <v>1</v>
      </c>
      <c r="EN68" s="197">
        <v>1</v>
      </c>
      <c r="EO68" s="197">
        <v>1</v>
      </c>
      <c r="EP68" s="197">
        <v>1</v>
      </c>
      <c r="EQ68" s="197">
        <v>1</v>
      </c>
      <c r="ER68" s="197">
        <v>1</v>
      </c>
      <c r="ES68" s="197">
        <v>1</v>
      </c>
      <c r="ET68" s="197">
        <v>1</v>
      </c>
      <c r="EU68" s="197">
        <v>1</v>
      </c>
      <c r="EV68" s="197">
        <v>1</v>
      </c>
      <c r="EW68" s="197">
        <v>1</v>
      </c>
      <c r="EX68" s="197">
        <v>1</v>
      </c>
      <c r="EY68" s="197">
        <v>1</v>
      </c>
      <c r="EZ68" s="197">
        <v>1</v>
      </c>
      <c r="FA68" s="197">
        <v>1</v>
      </c>
      <c r="FB68" s="197">
        <v>1</v>
      </c>
      <c r="FC68" s="197">
        <v>1</v>
      </c>
      <c r="FD68" s="197">
        <v>1</v>
      </c>
      <c r="FE68" s="197">
        <v>1</v>
      </c>
      <c r="FF68" s="197">
        <v>1</v>
      </c>
      <c r="FG68" s="197">
        <v>1</v>
      </c>
      <c r="FH68" s="197">
        <v>1</v>
      </c>
      <c r="FI68" s="197">
        <v>1</v>
      </c>
      <c r="FJ68" s="197">
        <v>1</v>
      </c>
      <c r="FK68" s="197">
        <v>1</v>
      </c>
      <c r="FL68" s="227">
        <f>+AVERAGE(DH68:FK70)</f>
        <v>1</v>
      </c>
      <c r="FM68" s="185">
        <v>1</v>
      </c>
      <c r="FN68" s="197">
        <v>1</v>
      </c>
      <c r="FO68" s="197">
        <v>1</v>
      </c>
      <c r="FP68" s="197">
        <v>1</v>
      </c>
      <c r="FQ68" s="185">
        <v>1</v>
      </c>
      <c r="FR68" s="197">
        <v>1</v>
      </c>
      <c r="FS68" s="197">
        <v>1</v>
      </c>
      <c r="FT68" s="197">
        <v>1</v>
      </c>
      <c r="FU68" s="197">
        <v>1</v>
      </c>
      <c r="FV68" s="197">
        <v>1</v>
      </c>
      <c r="FW68" s="197">
        <v>1</v>
      </c>
      <c r="FX68" s="197">
        <v>1</v>
      </c>
      <c r="FY68" s="197">
        <v>1</v>
      </c>
      <c r="FZ68" s="197">
        <v>1</v>
      </c>
      <c r="GA68" s="197">
        <v>1</v>
      </c>
      <c r="GB68" s="197">
        <v>1</v>
      </c>
      <c r="GC68" s="197">
        <v>1</v>
      </c>
      <c r="GD68" s="197">
        <v>1</v>
      </c>
      <c r="GE68" s="197">
        <v>1</v>
      </c>
      <c r="GF68" s="197">
        <v>1</v>
      </c>
      <c r="GG68" s="197">
        <v>1</v>
      </c>
      <c r="GH68" s="197">
        <v>1</v>
      </c>
      <c r="GI68" s="197">
        <v>1</v>
      </c>
      <c r="GJ68" s="197">
        <v>1</v>
      </c>
      <c r="GK68" s="197">
        <v>1</v>
      </c>
      <c r="GL68" s="197">
        <v>1</v>
      </c>
      <c r="GM68" s="197">
        <v>1</v>
      </c>
      <c r="GN68" s="197">
        <v>1</v>
      </c>
      <c r="GO68" s="197">
        <v>1</v>
      </c>
      <c r="GP68" s="197">
        <v>1</v>
      </c>
      <c r="GQ68" s="197">
        <v>1</v>
      </c>
      <c r="GR68" s="197">
        <v>1</v>
      </c>
      <c r="GS68" s="197">
        <v>1</v>
      </c>
      <c r="GT68" s="197">
        <v>1</v>
      </c>
      <c r="GU68" s="197">
        <v>1</v>
      </c>
      <c r="GV68" s="197">
        <v>1</v>
      </c>
      <c r="GW68" s="197">
        <v>1</v>
      </c>
      <c r="GX68" s="197">
        <v>1</v>
      </c>
      <c r="GY68" s="197">
        <v>1</v>
      </c>
      <c r="GZ68" s="197">
        <v>1</v>
      </c>
      <c r="HA68" s="197">
        <v>1</v>
      </c>
      <c r="HB68" s="227">
        <f t="shared" ref="HB68" si="16">+AVERAGE(FM68:HA70)</f>
        <v>1</v>
      </c>
    </row>
    <row r="69" spans="1:210" ht="15" customHeight="1">
      <c r="A69" s="60"/>
      <c r="B69" s="186"/>
      <c r="C69" s="168"/>
      <c r="D69" s="198"/>
      <c r="E69" s="168"/>
      <c r="F69" s="186"/>
      <c r="G69" s="168"/>
      <c r="H69" s="198"/>
      <c r="I69" s="198"/>
      <c r="J69" s="186"/>
      <c r="K69" s="168"/>
      <c r="L69" s="198"/>
      <c r="M69" s="168"/>
      <c r="N69" s="198"/>
      <c r="O69" s="186"/>
      <c r="P69" s="198"/>
      <c r="Q69" s="198"/>
      <c r="R69" s="171"/>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231"/>
      <c r="DG69" s="228"/>
      <c r="DH69" s="198"/>
      <c r="DI69" s="186"/>
      <c r="DJ69" s="204"/>
      <c r="DK69" s="198"/>
      <c r="DL69" s="198"/>
      <c r="DM69" s="186"/>
      <c r="DN69" s="198"/>
      <c r="DO69" s="186"/>
      <c r="DP69" s="204"/>
      <c r="DQ69" s="198"/>
      <c r="DR69" s="186"/>
      <c r="DS69" s="198"/>
      <c r="DT69" s="198"/>
      <c r="DU69" s="234"/>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228"/>
      <c r="FM69" s="186"/>
      <c r="FN69" s="198"/>
      <c r="FO69" s="198"/>
      <c r="FP69" s="198"/>
      <c r="FQ69" s="186"/>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228"/>
    </row>
    <row r="70" spans="1:210" ht="43" thickBot="1">
      <c r="A70" s="57" t="s">
        <v>715</v>
      </c>
      <c r="B70" s="187"/>
      <c r="C70" s="169"/>
      <c r="D70" s="199"/>
      <c r="E70" s="169"/>
      <c r="F70" s="187"/>
      <c r="G70" s="169"/>
      <c r="H70" s="199"/>
      <c r="I70" s="199"/>
      <c r="J70" s="187"/>
      <c r="K70" s="169"/>
      <c r="L70" s="199"/>
      <c r="M70" s="169"/>
      <c r="N70" s="199"/>
      <c r="O70" s="187"/>
      <c r="P70" s="199"/>
      <c r="Q70" s="199"/>
      <c r="R70" s="172"/>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232"/>
      <c r="DG70" s="229"/>
      <c r="DH70" s="199"/>
      <c r="DI70" s="187"/>
      <c r="DJ70" s="205"/>
      <c r="DK70" s="199"/>
      <c r="DL70" s="199"/>
      <c r="DM70" s="187"/>
      <c r="DN70" s="199"/>
      <c r="DO70" s="187"/>
      <c r="DP70" s="205"/>
      <c r="DQ70" s="199"/>
      <c r="DR70" s="187"/>
      <c r="DS70" s="199"/>
      <c r="DT70" s="199"/>
      <c r="DU70" s="235"/>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229"/>
      <c r="FM70" s="187"/>
      <c r="FN70" s="199"/>
      <c r="FO70" s="199"/>
      <c r="FP70" s="199"/>
      <c r="FQ70" s="187"/>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229"/>
    </row>
    <row r="71" spans="1:210" ht="29" thickTop="1">
      <c r="A71" s="59" t="s">
        <v>714</v>
      </c>
      <c r="B71" s="185">
        <v>1</v>
      </c>
      <c r="C71" s="170" t="s">
        <v>822</v>
      </c>
      <c r="D71" s="185">
        <v>1</v>
      </c>
      <c r="E71" s="167" t="s">
        <v>847</v>
      </c>
      <c r="F71" s="185">
        <v>1</v>
      </c>
      <c r="G71" s="170" t="s">
        <v>867</v>
      </c>
      <c r="H71" s="185">
        <v>1</v>
      </c>
      <c r="I71" s="185">
        <v>1</v>
      </c>
      <c r="J71" s="185">
        <v>1</v>
      </c>
      <c r="K71" s="170"/>
      <c r="L71" s="185">
        <v>1</v>
      </c>
      <c r="M71" s="167"/>
      <c r="N71" s="185">
        <v>1</v>
      </c>
      <c r="O71" s="185">
        <v>1</v>
      </c>
      <c r="P71" s="197">
        <v>1</v>
      </c>
      <c r="Q71" s="197">
        <v>1</v>
      </c>
      <c r="R71" s="170" t="s">
        <v>822</v>
      </c>
      <c r="S71" s="197">
        <v>1</v>
      </c>
      <c r="T71" s="197">
        <v>1</v>
      </c>
      <c r="U71" s="197">
        <v>0</v>
      </c>
      <c r="V71" s="197">
        <v>1</v>
      </c>
      <c r="W71" s="197">
        <v>1</v>
      </c>
      <c r="X71" s="197">
        <v>1</v>
      </c>
      <c r="Y71" s="197">
        <v>1</v>
      </c>
      <c r="Z71" s="197">
        <v>1</v>
      </c>
      <c r="AA71" s="197">
        <v>1</v>
      </c>
      <c r="AB71" s="197">
        <v>1</v>
      </c>
      <c r="AC71" s="197">
        <v>1</v>
      </c>
      <c r="AD71" s="197">
        <v>1</v>
      </c>
      <c r="AE71" s="197">
        <v>1</v>
      </c>
      <c r="AF71" s="197">
        <v>1</v>
      </c>
      <c r="AG71" s="197">
        <v>1</v>
      </c>
      <c r="AH71" s="197">
        <v>1</v>
      </c>
      <c r="AI71" s="197">
        <v>1</v>
      </c>
      <c r="AJ71" s="197">
        <v>1</v>
      </c>
      <c r="AK71" s="197">
        <v>1</v>
      </c>
      <c r="AL71" s="197">
        <v>1</v>
      </c>
      <c r="AM71" s="197">
        <v>1</v>
      </c>
      <c r="AN71" s="197">
        <v>1</v>
      </c>
      <c r="AO71" s="197">
        <v>1</v>
      </c>
      <c r="AP71" s="197">
        <v>1</v>
      </c>
      <c r="AQ71" s="197">
        <v>1</v>
      </c>
      <c r="AR71" s="197">
        <v>1</v>
      </c>
      <c r="AS71" s="197">
        <v>1</v>
      </c>
      <c r="AT71" s="197">
        <v>1</v>
      </c>
      <c r="AU71" s="197">
        <v>1</v>
      </c>
      <c r="AV71" s="197">
        <v>1</v>
      </c>
      <c r="AW71" s="197">
        <v>1</v>
      </c>
      <c r="AX71" s="197">
        <v>1</v>
      </c>
      <c r="AY71" s="197">
        <v>1</v>
      </c>
      <c r="AZ71" s="197">
        <v>1</v>
      </c>
      <c r="BA71" s="197">
        <v>1</v>
      </c>
      <c r="BB71" s="197">
        <v>1</v>
      </c>
      <c r="BC71" s="197">
        <v>1</v>
      </c>
      <c r="BD71" s="197">
        <v>1</v>
      </c>
      <c r="BE71" s="197">
        <v>1</v>
      </c>
      <c r="BF71" s="197">
        <v>1</v>
      </c>
      <c r="BG71" s="197">
        <v>1</v>
      </c>
      <c r="BH71" s="197">
        <v>1</v>
      </c>
      <c r="BI71" s="197">
        <v>1</v>
      </c>
      <c r="BJ71" s="197">
        <v>1</v>
      </c>
      <c r="BK71" s="197">
        <v>1</v>
      </c>
      <c r="BL71" s="197">
        <v>1</v>
      </c>
      <c r="BM71" s="197">
        <v>1</v>
      </c>
      <c r="BN71" s="197">
        <v>1</v>
      </c>
      <c r="BO71" s="197">
        <v>1</v>
      </c>
      <c r="BP71" s="197">
        <v>1</v>
      </c>
      <c r="BQ71" s="197">
        <v>1</v>
      </c>
      <c r="BR71" s="197">
        <v>1</v>
      </c>
      <c r="BS71" s="197">
        <v>1</v>
      </c>
      <c r="BT71" s="197">
        <v>1</v>
      </c>
      <c r="BU71" s="197">
        <v>1</v>
      </c>
      <c r="BV71" s="197">
        <v>1</v>
      </c>
      <c r="BW71" s="197">
        <v>1</v>
      </c>
      <c r="BX71" s="197">
        <v>1</v>
      </c>
      <c r="BY71" s="197">
        <v>1</v>
      </c>
      <c r="BZ71" s="197">
        <v>1</v>
      </c>
      <c r="CA71" s="197">
        <v>1</v>
      </c>
      <c r="CB71" s="197">
        <v>1</v>
      </c>
      <c r="CC71" s="197">
        <v>1</v>
      </c>
      <c r="CD71" s="197">
        <v>1</v>
      </c>
      <c r="CE71" s="197">
        <v>1</v>
      </c>
      <c r="CF71" s="197">
        <v>1</v>
      </c>
      <c r="CG71" s="197">
        <v>1</v>
      </c>
      <c r="CH71" s="197">
        <v>1</v>
      </c>
      <c r="CI71" s="197">
        <v>1</v>
      </c>
      <c r="CJ71" s="197">
        <v>1</v>
      </c>
      <c r="CK71" s="197">
        <v>1</v>
      </c>
      <c r="CL71" s="197">
        <v>1</v>
      </c>
      <c r="CM71" s="197">
        <v>1</v>
      </c>
      <c r="CN71" s="197">
        <v>1</v>
      </c>
      <c r="CO71" s="197">
        <v>1</v>
      </c>
      <c r="CP71" s="197">
        <v>1</v>
      </c>
      <c r="CQ71" s="197">
        <v>1</v>
      </c>
      <c r="CR71" s="197">
        <v>1</v>
      </c>
      <c r="CS71" s="197">
        <v>1</v>
      </c>
      <c r="CT71" s="197">
        <v>1</v>
      </c>
      <c r="CU71" s="197">
        <v>1</v>
      </c>
      <c r="CV71" s="197">
        <v>1</v>
      </c>
      <c r="CW71" s="197">
        <v>1</v>
      </c>
      <c r="CX71" s="197">
        <v>1</v>
      </c>
      <c r="CY71" s="197">
        <v>1</v>
      </c>
      <c r="CZ71" s="197">
        <v>1</v>
      </c>
      <c r="DA71" s="197">
        <v>1</v>
      </c>
      <c r="DB71" s="197">
        <v>1</v>
      </c>
      <c r="DC71" s="197">
        <v>1</v>
      </c>
      <c r="DD71" s="197">
        <v>1</v>
      </c>
      <c r="DE71" s="197">
        <v>1</v>
      </c>
      <c r="DF71" s="230">
        <v>1</v>
      </c>
      <c r="DG71" s="227">
        <f>+AVERAGE(B71:DF73)</f>
        <v>0.99029126213592233</v>
      </c>
      <c r="DH71" s="185">
        <v>1</v>
      </c>
      <c r="DI71" s="185">
        <v>1</v>
      </c>
      <c r="DJ71" s="233"/>
      <c r="DK71" s="185">
        <v>1</v>
      </c>
      <c r="DL71" s="185">
        <v>1</v>
      </c>
      <c r="DM71" s="185">
        <v>1</v>
      </c>
      <c r="DN71" s="185">
        <v>1</v>
      </c>
      <c r="DO71" s="185">
        <v>1</v>
      </c>
      <c r="DP71" s="233"/>
      <c r="DQ71" s="185">
        <v>1</v>
      </c>
      <c r="DR71" s="185">
        <v>1</v>
      </c>
      <c r="DS71" s="197">
        <v>1</v>
      </c>
      <c r="DT71" s="197">
        <v>1</v>
      </c>
      <c r="DU71" s="233"/>
      <c r="DV71" s="197">
        <v>1</v>
      </c>
      <c r="DW71" s="197">
        <v>1</v>
      </c>
      <c r="DX71" s="197">
        <v>1</v>
      </c>
      <c r="DY71" s="197">
        <v>1</v>
      </c>
      <c r="DZ71" s="197">
        <v>1</v>
      </c>
      <c r="EA71" s="197">
        <v>1</v>
      </c>
      <c r="EB71" s="197">
        <v>1</v>
      </c>
      <c r="EC71" s="197">
        <v>1</v>
      </c>
      <c r="ED71" s="197">
        <v>1</v>
      </c>
      <c r="EE71" s="197">
        <v>1</v>
      </c>
      <c r="EF71" s="197">
        <v>1</v>
      </c>
      <c r="EG71" s="197">
        <v>1</v>
      </c>
      <c r="EH71" s="197">
        <v>1</v>
      </c>
      <c r="EI71" s="197">
        <v>1</v>
      </c>
      <c r="EJ71" s="197">
        <v>1</v>
      </c>
      <c r="EK71" s="197">
        <v>1</v>
      </c>
      <c r="EL71" s="197">
        <v>1</v>
      </c>
      <c r="EM71" s="197">
        <v>1</v>
      </c>
      <c r="EN71" s="197">
        <v>1</v>
      </c>
      <c r="EO71" s="197">
        <v>1</v>
      </c>
      <c r="EP71" s="197">
        <v>1</v>
      </c>
      <c r="EQ71" s="197">
        <v>1</v>
      </c>
      <c r="ER71" s="197">
        <v>1</v>
      </c>
      <c r="ES71" s="197">
        <v>1</v>
      </c>
      <c r="ET71" s="197">
        <v>1</v>
      </c>
      <c r="EU71" s="197">
        <v>1</v>
      </c>
      <c r="EV71" s="197">
        <v>1</v>
      </c>
      <c r="EW71" s="197">
        <v>1</v>
      </c>
      <c r="EX71" s="197">
        <v>1</v>
      </c>
      <c r="EY71" s="197">
        <v>1</v>
      </c>
      <c r="EZ71" s="197">
        <v>1</v>
      </c>
      <c r="FA71" s="197">
        <v>1</v>
      </c>
      <c r="FB71" s="197">
        <v>1</v>
      </c>
      <c r="FC71" s="197">
        <v>1</v>
      </c>
      <c r="FD71" s="197">
        <v>1</v>
      </c>
      <c r="FE71" s="197">
        <v>1</v>
      </c>
      <c r="FF71" s="197">
        <v>1</v>
      </c>
      <c r="FG71" s="197">
        <v>1</v>
      </c>
      <c r="FH71" s="197">
        <v>1</v>
      </c>
      <c r="FI71" s="197">
        <v>1</v>
      </c>
      <c r="FJ71" s="197">
        <v>1</v>
      </c>
      <c r="FK71" s="197">
        <v>1</v>
      </c>
      <c r="FL71" s="227">
        <f>+AVERAGE(DH71:FK73)</f>
        <v>1</v>
      </c>
      <c r="FM71" s="185">
        <v>1</v>
      </c>
      <c r="FN71" s="185">
        <v>1</v>
      </c>
      <c r="FO71" s="185">
        <v>1</v>
      </c>
      <c r="FP71" s="185">
        <v>1</v>
      </c>
      <c r="FQ71" s="185">
        <v>1</v>
      </c>
      <c r="FR71" s="197">
        <v>1</v>
      </c>
      <c r="FS71" s="197">
        <v>1</v>
      </c>
      <c r="FT71" s="197">
        <v>1</v>
      </c>
      <c r="FU71" s="197">
        <v>1</v>
      </c>
      <c r="FV71" s="197">
        <v>1</v>
      </c>
      <c r="FW71" s="197">
        <v>1</v>
      </c>
      <c r="FX71" s="197">
        <v>1</v>
      </c>
      <c r="FY71" s="197">
        <v>1</v>
      </c>
      <c r="FZ71" s="197">
        <v>1</v>
      </c>
      <c r="GA71" s="197">
        <v>1</v>
      </c>
      <c r="GB71" s="197">
        <v>1</v>
      </c>
      <c r="GC71" s="197">
        <v>1</v>
      </c>
      <c r="GD71" s="197">
        <v>1</v>
      </c>
      <c r="GE71" s="197">
        <v>1</v>
      </c>
      <c r="GF71" s="197">
        <v>1</v>
      </c>
      <c r="GG71" s="197">
        <v>1</v>
      </c>
      <c r="GH71" s="197">
        <v>1</v>
      </c>
      <c r="GI71" s="197">
        <v>1</v>
      </c>
      <c r="GJ71" s="197">
        <v>1</v>
      </c>
      <c r="GK71" s="197">
        <v>1</v>
      </c>
      <c r="GL71" s="197">
        <v>1</v>
      </c>
      <c r="GM71" s="197">
        <v>1</v>
      </c>
      <c r="GN71" s="197">
        <v>1</v>
      </c>
      <c r="GO71" s="197">
        <v>1</v>
      </c>
      <c r="GP71" s="197">
        <v>1</v>
      </c>
      <c r="GQ71" s="197">
        <v>1</v>
      </c>
      <c r="GR71" s="197">
        <v>1</v>
      </c>
      <c r="GS71" s="197">
        <v>1</v>
      </c>
      <c r="GT71" s="197">
        <v>1</v>
      </c>
      <c r="GU71" s="197">
        <v>1</v>
      </c>
      <c r="GV71" s="197">
        <v>1</v>
      </c>
      <c r="GW71" s="197">
        <v>1</v>
      </c>
      <c r="GX71" s="197">
        <v>1</v>
      </c>
      <c r="GY71" s="197">
        <v>1</v>
      </c>
      <c r="GZ71" s="197">
        <v>1</v>
      </c>
      <c r="HA71" s="197">
        <v>1</v>
      </c>
      <c r="HB71" s="227">
        <f t="shared" ref="HB71" si="17">+AVERAGE(FM71:HA73)</f>
        <v>1</v>
      </c>
    </row>
    <row r="72" spans="1:210" ht="15" customHeight="1">
      <c r="A72" s="58"/>
      <c r="B72" s="186"/>
      <c r="C72" s="171"/>
      <c r="D72" s="186"/>
      <c r="E72" s="168"/>
      <c r="F72" s="186"/>
      <c r="G72" s="171"/>
      <c r="H72" s="186"/>
      <c r="I72" s="186"/>
      <c r="J72" s="186"/>
      <c r="K72" s="171"/>
      <c r="L72" s="186"/>
      <c r="M72" s="168"/>
      <c r="N72" s="186"/>
      <c r="O72" s="186"/>
      <c r="P72" s="198"/>
      <c r="Q72" s="198"/>
      <c r="R72" s="171"/>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231"/>
      <c r="DG72" s="228"/>
      <c r="DH72" s="186"/>
      <c r="DI72" s="186"/>
      <c r="DJ72" s="234"/>
      <c r="DK72" s="186"/>
      <c r="DL72" s="186"/>
      <c r="DM72" s="186"/>
      <c r="DN72" s="186"/>
      <c r="DO72" s="186"/>
      <c r="DP72" s="234"/>
      <c r="DQ72" s="186"/>
      <c r="DR72" s="186"/>
      <c r="DS72" s="198"/>
      <c r="DT72" s="198"/>
      <c r="DU72" s="234"/>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228"/>
      <c r="FM72" s="186"/>
      <c r="FN72" s="186"/>
      <c r="FO72" s="186"/>
      <c r="FP72" s="186"/>
      <c r="FQ72" s="186"/>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228"/>
    </row>
    <row r="73" spans="1:210" ht="71" thickBot="1">
      <c r="A73" s="57" t="s">
        <v>713</v>
      </c>
      <c r="B73" s="187"/>
      <c r="C73" s="172"/>
      <c r="D73" s="187"/>
      <c r="E73" s="169"/>
      <c r="F73" s="187"/>
      <c r="G73" s="172"/>
      <c r="H73" s="187"/>
      <c r="I73" s="187"/>
      <c r="J73" s="187"/>
      <c r="K73" s="172"/>
      <c r="L73" s="187"/>
      <c r="M73" s="169"/>
      <c r="N73" s="187"/>
      <c r="O73" s="187"/>
      <c r="P73" s="199"/>
      <c r="Q73" s="199"/>
      <c r="R73" s="172"/>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232"/>
      <c r="DG73" s="229"/>
      <c r="DH73" s="187"/>
      <c r="DI73" s="187"/>
      <c r="DJ73" s="235"/>
      <c r="DK73" s="187"/>
      <c r="DL73" s="187"/>
      <c r="DM73" s="187"/>
      <c r="DN73" s="187"/>
      <c r="DO73" s="187"/>
      <c r="DP73" s="235"/>
      <c r="DQ73" s="187"/>
      <c r="DR73" s="187"/>
      <c r="DS73" s="199"/>
      <c r="DT73" s="199"/>
      <c r="DU73" s="235"/>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229"/>
      <c r="FM73" s="187"/>
      <c r="FN73" s="187"/>
      <c r="FO73" s="187"/>
      <c r="FP73" s="187"/>
      <c r="FQ73" s="187"/>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229"/>
    </row>
    <row r="74" spans="1:210" ht="22" thickTop="1" thickBot="1">
      <c r="A74" s="80" t="s">
        <v>712</v>
      </c>
      <c r="B74" s="81"/>
      <c r="C74" s="76"/>
      <c r="D74" s="76"/>
      <c r="E74" s="76"/>
      <c r="F74" s="96"/>
      <c r="G74" s="97"/>
      <c r="H74" s="89"/>
      <c r="I74" s="89"/>
      <c r="J74" s="96"/>
      <c r="K74" s="97"/>
      <c r="L74" s="89"/>
      <c r="M74" s="97"/>
      <c r="N74" s="89"/>
      <c r="O74" s="96"/>
      <c r="P74" s="76"/>
      <c r="Q74" s="76"/>
      <c r="R74" s="76"/>
      <c r="S74" s="89"/>
      <c r="T74" s="89"/>
      <c r="U74" s="99"/>
      <c r="V74" s="89"/>
      <c r="W74" s="89"/>
      <c r="X74" s="89"/>
      <c r="Y74" s="99"/>
      <c r="Z74" s="89"/>
      <c r="AA74" s="89"/>
      <c r="AB74" s="89"/>
      <c r="AC74" s="89"/>
      <c r="AD74" s="89"/>
      <c r="AE74" s="89"/>
      <c r="AF74" s="89"/>
      <c r="AG74" s="89"/>
      <c r="AH74" s="89"/>
      <c r="AI74" s="89"/>
      <c r="AJ74" s="99"/>
      <c r="AK74" s="89"/>
      <c r="AL74" s="89"/>
      <c r="AM74" s="99"/>
      <c r="AN74" s="89"/>
      <c r="AO74" s="89"/>
      <c r="AP74" s="89"/>
      <c r="AQ74" s="89"/>
      <c r="AR74" s="99"/>
      <c r="AS74" s="89"/>
      <c r="AT74" s="89"/>
      <c r="AU74" s="89"/>
      <c r="AV74" s="89"/>
      <c r="AW74" s="89"/>
      <c r="AX74" s="89"/>
      <c r="AY74" s="99"/>
      <c r="AZ74" s="89"/>
      <c r="BA74" s="89"/>
      <c r="BB74" s="89"/>
      <c r="BC74" s="89"/>
      <c r="BD74" s="89"/>
      <c r="BE74" s="89"/>
      <c r="BF74" s="89"/>
      <c r="BG74" s="89"/>
      <c r="BH74" s="89"/>
      <c r="BI74" s="99"/>
      <c r="BJ74" s="89"/>
      <c r="BK74" s="89"/>
      <c r="BL74" s="89"/>
      <c r="BM74" s="89"/>
      <c r="BN74" s="89"/>
      <c r="BO74" s="89"/>
      <c r="BP74" s="89"/>
      <c r="BQ74" s="89"/>
      <c r="BR74" s="99"/>
      <c r="BS74" s="99"/>
      <c r="BT74" s="89"/>
      <c r="BU74" s="89"/>
      <c r="BV74" s="89"/>
      <c r="BW74" s="89"/>
      <c r="BX74" s="99"/>
      <c r="BY74" s="89"/>
      <c r="BZ74" s="89"/>
      <c r="CA74" s="89"/>
      <c r="CB74" s="99"/>
      <c r="CC74" s="89"/>
      <c r="CD74" s="89"/>
      <c r="CE74" s="89"/>
      <c r="CF74" s="89"/>
      <c r="CG74" s="99"/>
      <c r="CH74" s="89"/>
      <c r="CI74" s="89"/>
      <c r="CJ74" s="89"/>
      <c r="CK74" s="89"/>
      <c r="CL74" s="89"/>
      <c r="CM74" s="89"/>
      <c r="CN74" s="89"/>
      <c r="CO74" s="89"/>
      <c r="CP74" s="89"/>
      <c r="CQ74" s="89"/>
      <c r="CR74" s="99"/>
      <c r="CS74" s="89"/>
      <c r="CT74" s="89"/>
      <c r="CU74" s="89"/>
      <c r="CV74" s="89"/>
      <c r="CW74" s="99"/>
      <c r="CX74" s="99"/>
      <c r="CY74" s="89"/>
      <c r="CZ74" s="89"/>
      <c r="DA74" s="89"/>
      <c r="DB74" s="89"/>
      <c r="DC74" s="89"/>
      <c r="DD74" s="89"/>
      <c r="DE74" s="89"/>
      <c r="DF74" s="89"/>
      <c r="DG74" s="105">
        <f>+AVERAGE(DG75:DG92)</f>
        <v>0.3754838504981281</v>
      </c>
      <c r="DH74" s="89"/>
      <c r="DI74" s="96"/>
      <c r="DJ74" s="112"/>
      <c r="DK74" s="89"/>
      <c r="DL74" s="89"/>
      <c r="DM74" s="96"/>
      <c r="DN74" s="89"/>
      <c r="DO74" s="96"/>
      <c r="DP74" s="112"/>
      <c r="DQ74" s="89"/>
      <c r="DR74" s="96"/>
      <c r="DS74" s="76"/>
      <c r="DT74" s="89"/>
      <c r="DU74" s="89"/>
      <c r="DV74" s="99"/>
      <c r="DW74" s="89"/>
      <c r="DX74" s="89"/>
      <c r="DY74" s="99"/>
      <c r="DZ74" s="89"/>
      <c r="EA74" s="99"/>
      <c r="EB74" s="99"/>
      <c r="EC74" s="89"/>
      <c r="ED74" s="99"/>
      <c r="EE74" s="89"/>
      <c r="EF74" s="89"/>
      <c r="EG74" s="89"/>
      <c r="EH74" s="89"/>
      <c r="EI74" s="89"/>
      <c r="EJ74" s="89"/>
      <c r="EK74" s="89"/>
      <c r="EL74" s="89"/>
      <c r="EM74" s="89"/>
      <c r="EN74" s="89"/>
      <c r="EO74" s="89"/>
      <c r="EP74" s="89"/>
      <c r="EQ74" s="89"/>
      <c r="ER74" s="89"/>
      <c r="ES74" s="89"/>
      <c r="ET74" s="89"/>
      <c r="EU74" s="89"/>
      <c r="EV74" s="89"/>
      <c r="EW74" s="89"/>
      <c r="EX74" s="99"/>
      <c r="EY74" s="89"/>
      <c r="EZ74" s="99"/>
      <c r="FA74" s="89"/>
      <c r="FB74" s="89"/>
      <c r="FC74" s="89"/>
      <c r="FD74" s="99"/>
      <c r="FE74" s="89"/>
      <c r="FF74" s="89"/>
      <c r="FG74" s="89"/>
      <c r="FH74" s="89"/>
      <c r="FI74" s="89"/>
      <c r="FJ74" s="89"/>
      <c r="FK74" s="89"/>
      <c r="FL74" s="105">
        <f>+AVERAGE(FL75:FL92)</f>
        <v>0.110062893081761</v>
      </c>
      <c r="FM74" s="96"/>
      <c r="FN74" s="89"/>
      <c r="FO74" s="89"/>
      <c r="FP74" s="89"/>
      <c r="FQ74" s="96"/>
      <c r="FR74" s="89"/>
      <c r="FS74" s="89"/>
      <c r="FT74" s="99"/>
      <c r="FU74" s="99"/>
      <c r="FV74" s="89"/>
      <c r="FW74" s="89"/>
      <c r="FX74" s="99"/>
      <c r="FY74" s="99"/>
      <c r="FZ74" s="89"/>
      <c r="GA74" s="89"/>
      <c r="GB74" s="99"/>
      <c r="GC74" s="89"/>
      <c r="GD74" s="89"/>
      <c r="GE74" s="89"/>
      <c r="GF74" s="89"/>
      <c r="GG74" s="89"/>
      <c r="GH74" s="89"/>
      <c r="GI74" s="89"/>
      <c r="GJ74" s="89"/>
      <c r="GK74" s="89"/>
      <c r="GL74" s="89"/>
      <c r="GM74" s="89"/>
      <c r="GN74" s="89"/>
      <c r="GO74" s="89"/>
      <c r="GP74" s="89"/>
      <c r="GQ74" s="99"/>
      <c r="GR74" s="89"/>
      <c r="GS74" s="89"/>
      <c r="GT74" s="89"/>
      <c r="GU74" s="99"/>
      <c r="GV74" s="89"/>
      <c r="GW74" s="99"/>
      <c r="GX74" s="89"/>
      <c r="GY74" s="89"/>
      <c r="GZ74" s="89"/>
      <c r="HA74" s="89"/>
      <c r="HB74" s="105">
        <f>+AVERAGE(HB75:HB92)</f>
        <v>0.1261178861788618</v>
      </c>
    </row>
    <row r="75" spans="1:210" ht="16" customHeight="1" thickTop="1">
      <c r="A75" s="59" t="s">
        <v>711</v>
      </c>
      <c r="B75" s="185">
        <v>0</v>
      </c>
      <c r="C75" s="173" t="s">
        <v>848</v>
      </c>
      <c r="D75" s="203">
        <v>1</v>
      </c>
      <c r="E75" s="173" t="s">
        <v>849</v>
      </c>
      <c r="F75" s="185">
        <v>1</v>
      </c>
      <c r="G75" s="173" t="s">
        <v>868</v>
      </c>
      <c r="H75" s="203">
        <v>1</v>
      </c>
      <c r="I75" s="203">
        <v>1</v>
      </c>
      <c r="J75" s="185">
        <v>0</v>
      </c>
      <c r="K75" s="173" t="s">
        <v>875</v>
      </c>
      <c r="L75" s="203">
        <v>1</v>
      </c>
      <c r="M75" s="173" t="s">
        <v>884</v>
      </c>
      <c r="N75" s="203">
        <v>1</v>
      </c>
      <c r="O75" s="185">
        <v>0</v>
      </c>
      <c r="P75" s="200">
        <v>1</v>
      </c>
      <c r="Q75" s="200">
        <v>1</v>
      </c>
      <c r="R75" s="170" t="s">
        <v>823</v>
      </c>
      <c r="S75" s="200">
        <v>1</v>
      </c>
      <c r="T75" s="200">
        <v>1</v>
      </c>
      <c r="U75" s="200">
        <v>1</v>
      </c>
      <c r="V75" s="200">
        <v>1</v>
      </c>
      <c r="W75" s="200">
        <v>0</v>
      </c>
      <c r="X75" s="200">
        <v>1</v>
      </c>
      <c r="Y75" s="200">
        <v>1</v>
      </c>
      <c r="Z75" s="200">
        <v>1</v>
      </c>
      <c r="AA75" s="200">
        <v>1</v>
      </c>
      <c r="AB75" s="200">
        <v>1</v>
      </c>
      <c r="AC75" s="200">
        <v>1</v>
      </c>
      <c r="AD75" s="200">
        <v>1</v>
      </c>
      <c r="AE75" s="200">
        <v>0</v>
      </c>
      <c r="AF75" s="200">
        <v>0</v>
      </c>
      <c r="AG75" s="200">
        <v>0</v>
      </c>
      <c r="AH75" s="200">
        <v>0</v>
      </c>
      <c r="AI75" s="200">
        <v>1</v>
      </c>
      <c r="AJ75" s="200">
        <v>1</v>
      </c>
      <c r="AK75" s="200">
        <v>1</v>
      </c>
      <c r="AL75" s="200">
        <v>1</v>
      </c>
      <c r="AM75" s="200">
        <v>0</v>
      </c>
      <c r="AN75" s="200">
        <v>1</v>
      </c>
      <c r="AO75" s="200">
        <v>1</v>
      </c>
      <c r="AP75" s="200">
        <v>1</v>
      </c>
      <c r="AQ75" s="200">
        <v>1</v>
      </c>
      <c r="AR75" s="200">
        <v>1</v>
      </c>
      <c r="AS75" s="200">
        <v>1</v>
      </c>
      <c r="AT75" s="200">
        <v>1</v>
      </c>
      <c r="AU75" s="200">
        <v>1</v>
      </c>
      <c r="AV75" s="200">
        <v>1</v>
      </c>
      <c r="AW75" s="200">
        <v>1</v>
      </c>
      <c r="AX75" s="200">
        <v>0</v>
      </c>
      <c r="AY75" s="200">
        <v>1</v>
      </c>
      <c r="AZ75" s="200">
        <v>1</v>
      </c>
      <c r="BA75" s="200">
        <v>1</v>
      </c>
      <c r="BB75" s="200">
        <v>1</v>
      </c>
      <c r="BC75" s="200">
        <v>1</v>
      </c>
      <c r="BD75" s="200">
        <v>1</v>
      </c>
      <c r="BE75" s="200">
        <v>1</v>
      </c>
      <c r="BF75" s="200">
        <v>1</v>
      </c>
      <c r="BG75" s="200">
        <v>1</v>
      </c>
      <c r="BH75" s="200">
        <v>1</v>
      </c>
      <c r="BI75" s="200">
        <v>0</v>
      </c>
      <c r="BJ75" s="200">
        <v>0</v>
      </c>
      <c r="BK75" s="200">
        <v>0</v>
      </c>
      <c r="BL75" s="200">
        <v>1</v>
      </c>
      <c r="BM75" s="200">
        <v>1</v>
      </c>
      <c r="BN75" s="200">
        <v>1</v>
      </c>
      <c r="BO75" s="200">
        <v>1</v>
      </c>
      <c r="BP75" s="200">
        <v>1</v>
      </c>
      <c r="BQ75" s="200">
        <v>1</v>
      </c>
      <c r="BR75" s="200">
        <v>1</v>
      </c>
      <c r="BS75" s="200">
        <v>1</v>
      </c>
      <c r="BT75" s="200">
        <v>0</v>
      </c>
      <c r="BU75" s="200">
        <v>1</v>
      </c>
      <c r="BV75" s="200">
        <v>1</v>
      </c>
      <c r="BW75" s="200">
        <v>1</v>
      </c>
      <c r="BX75" s="200">
        <v>1</v>
      </c>
      <c r="BY75" s="200">
        <v>1</v>
      </c>
      <c r="BZ75" s="200">
        <v>1</v>
      </c>
      <c r="CA75" s="200">
        <v>1</v>
      </c>
      <c r="CB75" s="200">
        <v>1</v>
      </c>
      <c r="CC75" s="200">
        <v>1</v>
      </c>
      <c r="CD75" s="200">
        <v>1</v>
      </c>
      <c r="CE75" s="200">
        <v>1</v>
      </c>
      <c r="CF75" s="200">
        <v>1</v>
      </c>
      <c r="CG75" s="200">
        <v>1</v>
      </c>
      <c r="CH75" s="200">
        <v>1</v>
      </c>
      <c r="CI75" s="200">
        <v>1</v>
      </c>
      <c r="CJ75" s="200">
        <v>1</v>
      </c>
      <c r="CK75" s="200">
        <v>1</v>
      </c>
      <c r="CL75" s="200">
        <v>1</v>
      </c>
      <c r="CM75" s="200">
        <v>1</v>
      </c>
      <c r="CN75" s="200">
        <v>0</v>
      </c>
      <c r="CO75" s="200">
        <v>1</v>
      </c>
      <c r="CP75" s="200">
        <v>1</v>
      </c>
      <c r="CQ75" s="200">
        <v>1</v>
      </c>
      <c r="CR75" s="200">
        <v>1</v>
      </c>
      <c r="CS75" s="200">
        <v>1</v>
      </c>
      <c r="CT75" s="200">
        <v>1</v>
      </c>
      <c r="CU75" s="200">
        <v>1</v>
      </c>
      <c r="CV75" s="200">
        <v>1</v>
      </c>
      <c r="CW75" s="200">
        <v>1</v>
      </c>
      <c r="CX75" s="200">
        <v>1</v>
      </c>
      <c r="CY75" s="200">
        <v>1</v>
      </c>
      <c r="CZ75" s="200">
        <v>1</v>
      </c>
      <c r="DA75" s="200">
        <v>1</v>
      </c>
      <c r="DB75" s="200">
        <v>0</v>
      </c>
      <c r="DC75" s="200">
        <v>1</v>
      </c>
      <c r="DD75" s="200">
        <v>1</v>
      </c>
      <c r="DE75" s="200">
        <v>1</v>
      </c>
      <c r="DF75" s="224">
        <v>1</v>
      </c>
      <c r="DG75" s="227">
        <f>+AVERAGE(B75:DF77)</f>
        <v>0.84466019417475724</v>
      </c>
      <c r="DH75" s="203">
        <v>0</v>
      </c>
      <c r="DI75" s="185">
        <v>0</v>
      </c>
      <c r="DJ75" s="203"/>
      <c r="DK75" s="203">
        <v>0</v>
      </c>
      <c r="DL75" s="203">
        <v>0</v>
      </c>
      <c r="DM75" s="185">
        <v>0</v>
      </c>
      <c r="DN75" s="203">
        <v>0</v>
      </c>
      <c r="DO75" s="185">
        <v>0</v>
      </c>
      <c r="DP75" s="203"/>
      <c r="DQ75" s="203">
        <v>0</v>
      </c>
      <c r="DR75" s="185">
        <v>0</v>
      </c>
      <c r="DS75" s="200">
        <v>0</v>
      </c>
      <c r="DT75" s="200">
        <v>0</v>
      </c>
      <c r="DU75" s="233"/>
      <c r="DV75" s="200">
        <v>0</v>
      </c>
      <c r="DW75" s="200">
        <v>0</v>
      </c>
      <c r="DX75" s="200">
        <v>0</v>
      </c>
      <c r="DY75" s="200">
        <v>0</v>
      </c>
      <c r="DZ75" s="200">
        <v>0</v>
      </c>
      <c r="EA75" s="200">
        <v>0</v>
      </c>
      <c r="EB75" s="200">
        <v>0</v>
      </c>
      <c r="EC75" s="200">
        <v>0</v>
      </c>
      <c r="ED75" s="200">
        <v>0</v>
      </c>
      <c r="EE75" s="200">
        <v>0</v>
      </c>
      <c r="EF75" s="200">
        <v>0</v>
      </c>
      <c r="EG75" s="200">
        <v>0</v>
      </c>
      <c r="EH75" s="200">
        <v>0</v>
      </c>
      <c r="EI75" s="200">
        <v>0</v>
      </c>
      <c r="EJ75" s="200">
        <v>0</v>
      </c>
      <c r="EK75" s="200">
        <v>0</v>
      </c>
      <c r="EL75" s="200">
        <v>0</v>
      </c>
      <c r="EM75" s="200">
        <v>0</v>
      </c>
      <c r="EN75" s="200">
        <v>0</v>
      </c>
      <c r="EO75" s="200">
        <v>0</v>
      </c>
      <c r="EP75" s="200">
        <v>0</v>
      </c>
      <c r="EQ75" s="200">
        <v>0</v>
      </c>
      <c r="ER75" s="200">
        <v>0</v>
      </c>
      <c r="ES75" s="200">
        <v>0</v>
      </c>
      <c r="ET75" s="200">
        <v>0</v>
      </c>
      <c r="EU75" s="200">
        <v>0</v>
      </c>
      <c r="EV75" s="200">
        <v>0</v>
      </c>
      <c r="EW75" s="200">
        <v>0</v>
      </c>
      <c r="EX75" s="200">
        <v>0</v>
      </c>
      <c r="EY75" s="200">
        <v>0</v>
      </c>
      <c r="EZ75" s="200">
        <v>0</v>
      </c>
      <c r="FA75" s="200">
        <v>0</v>
      </c>
      <c r="FB75" s="200">
        <v>0</v>
      </c>
      <c r="FC75" s="200">
        <v>0</v>
      </c>
      <c r="FD75" s="200">
        <v>0</v>
      </c>
      <c r="FE75" s="200">
        <v>0</v>
      </c>
      <c r="FF75" s="200">
        <v>0</v>
      </c>
      <c r="FG75" s="200">
        <v>0</v>
      </c>
      <c r="FH75" s="200">
        <v>0</v>
      </c>
      <c r="FI75" s="200">
        <v>0</v>
      </c>
      <c r="FJ75" s="200">
        <v>0</v>
      </c>
      <c r="FK75" s="200">
        <v>0</v>
      </c>
      <c r="FL75" s="227">
        <f>+AVERAGE(DH75:FK77)</f>
        <v>0</v>
      </c>
      <c r="FM75" s="185">
        <v>0</v>
      </c>
      <c r="FN75" s="203">
        <v>0</v>
      </c>
      <c r="FO75" s="203">
        <v>0</v>
      </c>
      <c r="FP75" s="203">
        <v>0</v>
      </c>
      <c r="FQ75" s="185">
        <v>0</v>
      </c>
      <c r="FR75" s="200">
        <v>0</v>
      </c>
      <c r="FS75" s="200">
        <v>0</v>
      </c>
      <c r="FT75" s="200">
        <v>0</v>
      </c>
      <c r="FU75" s="200">
        <v>0</v>
      </c>
      <c r="FV75" s="200">
        <v>0</v>
      </c>
      <c r="FW75" s="200">
        <v>0</v>
      </c>
      <c r="FX75" s="200">
        <v>0</v>
      </c>
      <c r="FY75" s="200">
        <v>0</v>
      </c>
      <c r="FZ75" s="200">
        <v>0</v>
      </c>
      <c r="GA75" s="200">
        <v>0</v>
      </c>
      <c r="GB75" s="200">
        <v>0</v>
      </c>
      <c r="GC75" s="200">
        <v>0</v>
      </c>
      <c r="GD75" s="200">
        <v>0</v>
      </c>
      <c r="GE75" s="200">
        <v>0</v>
      </c>
      <c r="GF75" s="200">
        <v>0</v>
      </c>
      <c r="GG75" s="200">
        <v>0</v>
      </c>
      <c r="GH75" s="200">
        <v>0</v>
      </c>
      <c r="GI75" s="200">
        <v>0</v>
      </c>
      <c r="GJ75" s="200">
        <v>0</v>
      </c>
      <c r="GK75" s="200">
        <v>0</v>
      </c>
      <c r="GL75" s="200">
        <v>0</v>
      </c>
      <c r="GM75" s="200">
        <v>0</v>
      </c>
      <c r="GN75" s="200">
        <v>0</v>
      </c>
      <c r="GO75" s="200">
        <v>0</v>
      </c>
      <c r="GP75" s="200">
        <v>0</v>
      </c>
      <c r="GQ75" s="200">
        <v>0</v>
      </c>
      <c r="GR75" s="200">
        <v>0</v>
      </c>
      <c r="GS75" s="200">
        <v>0</v>
      </c>
      <c r="GT75" s="200">
        <v>0</v>
      </c>
      <c r="GU75" s="200">
        <v>0</v>
      </c>
      <c r="GV75" s="200">
        <v>0</v>
      </c>
      <c r="GW75" s="200">
        <v>0</v>
      </c>
      <c r="GX75" s="200">
        <v>0</v>
      </c>
      <c r="GY75" s="200">
        <v>0</v>
      </c>
      <c r="GZ75" s="200">
        <v>0</v>
      </c>
      <c r="HA75" s="200">
        <v>0</v>
      </c>
      <c r="HB75" s="227">
        <f>+AVERAGE(FM75:HA77)</f>
        <v>0</v>
      </c>
    </row>
    <row r="76" spans="1:210" ht="15" customHeight="1">
      <c r="A76" s="60" t="s">
        <v>25</v>
      </c>
      <c r="B76" s="186"/>
      <c r="C76" s="174"/>
      <c r="D76" s="204"/>
      <c r="E76" s="174"/>
      <c r="F76" s="186"/>
      <c r="G76" s="174"/>
      <c r="H76" s="204"/>
      <c r="I76" s="204"/>
      <c r="J76" s="186"/>
      <c r="K76" s="174"/>
      <c r="L76" s="204"/>
      <c r="M76" s="174"/>
      <c r="N76" s="204"/>
      <c r="O76" s="186"/>
      <c r="P76" s="201"/>
      <c r="Q76" s="201"/>
      <c r="R76" s="17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25"/>
      <c r="DG76" s="228"/>
      <c r="DH76" s="204"/>
      <c r="DI76" s="186"/>
      <c r="DJ76" s="204"/>
      <c r="DK76" s="204"/>
      <c r="DL76" s="204"/>
      <c r="DM76" s="186"/>
      <c r="DN76" s="204"/>
      <c r="DO76" s="186"/>
      <c r="DP76" s="204"/>
      <c r="DQ76" s="204"/>
      <c r="DR76" s="186"/>
      <c r="DS76" s="201"/>
      <c r="DT76" s="201"/>
      <c r="DU76" s="234"/>
      <c r="DV76" s="201"/>
      <c r="DW76" s="201"/>
      <c r="DX76" s="201"/>
      <c r="DY76" s="201"/>
      <c r="DZ76" s="201"/>
      <c r="EA76" s="201"/>
      <c r="EB76" s="201"/>
      <c r="EC76" s="201"/>
      <c r="ED76" s="201"/>
      <c r="EE76" s="201"/>
      <c r="EF76" s="201"/>
      <c r="EG76" s="201"/>
      <c r="EH76" s="201"/>
      <c r="EI76" s="201"/>
      <c r="EJ76" s="201"/>
      <c r="EK76" s="201"/>
      <c r="EL76" s="201"/>
      <c r="EM76" s="201"/>
      <c r="EN76" s="201"/>
      <c r="EO76" s="201"/>
      <c r="EP76" s="201"/>
      <c r="EQ76" s="201"/>
      <c r="ER76" s="201"/>
      <c r="ES76" s="201"/>
      <c r="ET76" s="201"/>
      <c r="EU76" s="201"/>
      <c r="EV76" s="201"/>
      <c r="EW76" s="201"/>
      <c r="EX76" s="201"/>
      <c r="EY76" s="201"/>
      <c r="EZ76" s="201"/>
      <c r="FA76" s="201"/>
      <c r="FB76" s="201"/>
      <c r="FC76" s="201"/>
      <c r="FD76" s="201"/>
      <c r="FE76" s="201"/>
      <c r="FF76" s="201"/>
      <c r="FG76" s="201"/>
      <c r="FH76" s="201"/>
      <c r="FI76" s="201"/>
      <c r="FJ76" s="201"/>
      <c r="FK76" s="201"/>
      <c r="FL76" s="228"/>
      <c r="FM76" s="186"/>
      <c r="FN76" s="204"/>
      <c r="FO76" s="204"/>
      <c r="FP76" s="204"/>
      <c r="FQ76" s="186"/>
      <c r="FR76" s="201"/>
      <c r="FS76" s="201"/>
      <c r="FT76" s="201"/>
      <c r="FU76" s="201"/>
      <c r="FV76" s="201"/>
      <c r="FW76" s="201"/>
      <c r="FX76" s="201"/>
      <c r="FY76" s="201"/>
      <c r="FZ76" s="201"/>
      <c r="GA76" s="201"/>
      <c r="GB76" s="201"/>
      <c r="GC76" s="201"/>
      <c r="GD76" s="201"/>
      <c r="GE76" s="201"/>
      <c r="GF76" s="201"/>
      <c r="GG76" s="201"/>
      <c r="GH76" s="201"/>
      <c r="GI76" s="201"/>
      <c r="GJ76" s="201"/>
      <c r="GK76" s="201"/>
      <c r="GL76" s="201"/>
      <c r="GM76" s="201"/>
      <c r="GN76" s="201"/>
      <c r="GO76" s="201"/>
      <c r="GP76" s="201"/>
      <c r="GQ76" s="201"/>
      <c r="GR76" s="201"/>
      <c r="GS76" s="201"/>
      <c r="GT76" s="201"/>
      <c r="GU76" s="201"/>
      <c r="GV76" s="201"/>
      <c r="GW76" s="201"/>
      <c r="GX76" s="201"/>
      <c r="GY76" s="201"/>
      <c r="GZ76" s="201"/>
      <c r="HA76" s="201"/>
      <c r="HB76" s="228"/>
    </row>
    <row r="77" spans="1:210" ht="127" thickBot="1">
      <c r="A77" s="57" t="s">
        <v>710</v>
      </c>
      <c r="B77" s="187"/>
      <c r="C77" s="175"/>
      <c r="D77" s="205"/>
      <c r="E77" s="175"/>
      <c r="F77" s="187"/>
      <c r="G77" s="175"/>
      <c r="H77" s="205"/>
      <c r="I77" s="205"/>
      <c r="J77" s="187"/>
      <c r="K77" s="175"/>
      <c r="L77" s="205"/>
      <c r="M77" s="175"/>
      <c r="N77" s="205"/>
      <c r="O77" s="187"/>
      <c r="P77" s="202"/>
      <c r="Q77" s="202"/>
      <c r="R77" s="17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2"/>
      <c r="CW77" s="202"/>
      <c r="CX77" s="202"/>
      <c r="CY77" s="202"/>
      <c r="CZ77" s="202"/>
      <c r="DA77" s="202"/>
      <c r="DB77" s="202"/>
      <c r="DC77" s="202"/>
      <c r="DD77" s="202"/>
      <c r="DE77" s="202"/>
      <c r="DF77" s="226"/>
      <c r="DG77" s="229"/>
      <c r="DH77" s="205"/>
      <c r="DI77" s="187"/>
      <c r="DJ77" s="205"/>
      <c r="DK77" s="205"/>
      <c r="DL77" s="205"/>
      <c r="DM77" s="187"/>
      <c r="DN77" s="205"/>
      <c r="DO77" s="187"/>
      <c r="DP77" s="205"/>
      <c r="DQ77" s="205"/>
      <c r="DR77" s="187"/>
      <c r="DS77" s="202"/>
      <c r="DT77" s="202"/>
      <c r="DU77" s="235"/>
      <c r="DV77" s="202"/>
      <c r="DW77" s="202"/>
      <c r="DX77" s="202"/>
      <c r="DY77" s="202"/>
      <c r="DZ77" s="202"/>
      <c r="EA77" s="202"/>
      <c r="EB77" s="202"/>
      <c r="EC77" s="202"/>
      <c r="ED77" s="202"/>
      <c r="EE77" s="202"/>
      <c r="EF77" s="202"/>
      <c r="EG77" s="202"/>
      <c r="EH77" s="202"/>
      <c r="EI77" s="202"/>
      <c r="EJ77" s="202"/>
      <c r="EK77" s="202"/>
      <c r="EL77" s="202"/>
      <c r="EM77" s="202"/>
      <c r="EN77" s="202"/>
      <c r="EO77" s="202"/>
      <c r="EP77" s="202"/>
      <c r="EQ77" s="202"/>
      <c r="ER77" s="202"/>
      <c r="ES77" s="202"/>
      <c r="ET77" s="202"/>
      <c r="EU77" s="202"/>
      <c r="EV77" s="202"/>
      <c r="EW77" s="202"/>
      <c r="EX77" s="202"/>
      <c r="EY77" s="202"/>
      <c r="EZ77" s="202"/>
      <c r="FA77" s="202"/>
      <c r="FB77" s="202"/>
      <c r="FC77" s="202"/>
      <c r="FD77" s="202"/>
      <c r="FE77" s="202"/>
      <c r="FF77" s="202"/>
      <c r="FG77" s="202"/>
      <c r="FH77" s="202"/>
      <c r="FI77" s="202"/>
      <c r="FJ77" s="202"/>
      <c r="FK77" s="202"/>
      <c r="FL77" s="229"/>
      <c r="FM77" s="187"/>
      <c r="FN77" s="205"/>
      <c r="FO77" s="205"/>
      <c r="FP77" s="205"/>
      <c r="FQ77" s="187"/>
      <c r="FR77" s="202"/>
      <c r="FS77" s="202"/>
      <c r="FT77" s="202"/>
      <c r="FU77" s="202"/>
      <c r="FV77" s="202"/>
      <c r="FW77" s="202"/>
      <c r="FX77" s="202"/>
      <c r="FY77" s="202"/>
      <c r="FZ77" s="202"/>
      <c r="GA77" s="202"/>
      <c r="GB77" s="202"/>
      <c r="GC77" s="202"/>
      <c r="GD77" s="202"/>
      <c r="GE77" s="202"/>
      <c r="GF77" s="202"/>
      <c r="GG77" s="202"/>
      <c r="GH77" s="202"/>
      <c r="GI77" s="202"/>
      <c r="GJ77" s="202"/>
      <c r="GK77" s="202"/>
      <c r="GL77" s="202"/>
      <c r="GM77" s="202"/>
      <c r="GN77" s="202"/>
      <c r="GO77" s="202"/>
      <c r="GP77" s="202"/>
      <c r="GQ77" s="202"/>
      <c r="GR77" s="202"/>
      <c r="GS77" s="202"/>
      <c r="GT77" s="202"/>
      <c r="GU77" s="202"/>
      <c r="GV77" s="202"/>
      <c r="GW77" s="202"/>
      <c r="GX77" s="202"/>
      <c r="GY77" s="202"/>
      <c r="GZ77" s="202"/>
      <c r="HA77" s="202"/>
      <c r="HB77" s="229"/>
    </row>
    <row r="78" spans="1:210" ht="16" customHeight="1" thickTop="1">
      <c r="A78" s="59" t="s">
        <v>709</v>
      </c>
      <c r="B78" s="185">
        <v>0</v>
      </c>
      <c r="C78" s="167" t="s">
        <v>850</v>
      </c>
      <c r="D78" s="197">
        <v>0</v>
      </c>
      <c r="E78" s="167" t="s">
        <v>851</v>
      </c>
      <c r="F78" s="185">
        <v>1</v>
      </c>
      <c r="G78" s="167" t="s">
        <v>869</v>
      </c>
      <c r="H78" s="197">
        <v>0</v>
      </c>
      <c r="I78" s="197">
        <v>0</v>
      </c>
      <c r="J78" s="185">
        <v>0</v>
      </c>
      <c r="K78" s="167" t="s">
        <v>876</v>
      </c>
      <c r="L78" s="197">
        <v>0</v>
      </c>
      <c r="M78" s="167" t="s">
        <v>885</v>
      </c>
      <c r="N78" s="197">
        <v>0</v>
      </c>
      <c r="O78" s="185">
        <v>0</v>
      </c>
      <c r="P78" s="197">
        <v>0</v>
      </c>
      <c r="Q78" s="197">
        <v>0</v>
      </c>
      <c r="R78" s="170" t="s">
        <v>824</v>
      </c>
      <c r="S78" s="197">
        <v>0</v>
      </c>
      <c r="T78" s="197">
        <v>0</v>
      </c>
      <c r="U78" s="197">
        <v>0</v>
      </c>
      <c r="V78" s="197">
        <v>1</v>
      </c>
      <c r="W78" s="197">
        <v>0</v>
      </c>
      <c r="X78" s="197">
        <v>1</v>
      </c>
      <c r="Y78" s="197">
        <v>1</v>
      </c>
      <c r="Z78" s="197">
        <v>0</v>
      </c>
      <c r="AA78" s="197">
        <v>1</v>
      </c>
      <c r="AB78" s="197">
        <v>1</v>
      </c>
      <c r="AC78" s="197">
        <v>1</v>
      </c>
      <c r="AD78" s="197">
        <v>1</v>
      </c>
      <c r="AE78" s="197">
        <v>0</v>
      </c>
      <c r="AF78" s="197">
        <v>0</v>
      </c>
      <c r="AG78" s="197">
        <v>0</v>
      </c>
      <c r="AH78" s="197">
        <v>0</v>
      </c>
      <c r="AI78" s="197">
        <v>1</v>
      </c>
      <c r="AJ78" s="197">
        <v>1</v>
      </c>
      <c r="AK78" s="197">
        <v>1</v>
      </c>
      <c r="AL78" s="197">
        <v>1</v>
      </c>
      <c r="AM78" s="197">
        <v>0</v>
      </c>
      <c r="AN78" s="197">
        <v>1</v>
      </c>
      <c r="AO78" s="197">
        <v>1</v>
      </c>
      <c r="AP78" s="197">
        <v>1</v>
      </c>
      <c r="AQ78" s="197">
        <v>1</v>
      </c>
      <c r="AR78" s="197">
        <v>1</v>
      </c>
      <c r="AS78" s="197">
        <v>1</v>
      </c>
      <c r="AT78" s="197">
        <v>1</v>
      </c>
      <c r="AU78" s="197">
        <v>1</v>
      </c>
      <c r="AV78" s="197">
        <v>1</v>
      </c>
      <c r="AW78" s="197">
        <v>1</v>
      </c>
      <c r="AX78" s="197">
        <v>0</v>
      </c>
      <c r="AY78" s="197">
        <v>1</v>
      </c>
      <c r="AZ78" s="197">
        <v>1</v>
      </c>
      <c r="BA78" s="197">
        <v>1</v>
      </c>
      <c r="BB78" s="197">
        <v>1</v>
      </c>
      <c r="BC78" s="197">
        <v>1</v>
      </c>
      <c r="BD78" s="197">
        <v>1</v>
      </c>
      <c r="BE78" s="197">
        <v>1</v>
      </c>
      <c r="BF78" s="197">
        <v>1</v>
      </c>
      <c r="BG78" s="197">
        <v>0</v>
      </c>
      <c r="BH78" s="197">
        <v>1</v>
      </c>
      <c r="BI78" s="197">
        <v>0</v>
      </c>
      <c r="BJ78" s="197">
        <v>0</v>
      </c>
      <c r="BK78" s="197">
        <v>0</v>
      </c>
      <c r="BL78" s="197">
        <v>1</v>
      </c>
      <c r="BM78" s="197">
        <v>1</v>
      </c>
      <c r="BN78" s="197">
        <v>1</v>
      </c>
      <c r="BO78" s="197">
        <v>0</v>
      </c>
      <c r="BP78" s="197">
        <v>1</v>
      </c>
      <c r="BQ78" s="197">
        <v>0</v>
      </c>
      <c r="BR78" s="197">
        <v>1</v>
      </c>
      <c r="BS78" s="197">
        <v>1</v>
      </c>
      <c r="BT78" s="197">
        <v>0</v>
      </c>
      <c r="BU78" s="197">
        <v>1</v>
      </c>
      <c r="BV78" s="197">
        <v>1</v>
      </c>
      <c r="BW78" s="197">
        <v>1</v>
      </c>
      <c r="BX78" s="197">
        <v>1</v>
      </c>
      <c r="BY78" s="197">
        <v>1</v>
      </c>
      <c r="BZ78" s="197">
        <v>1</v>
      </c>
      <c r="CA78" s="197">
        <v>0</v>
      </c>
      <c r="CB78" s="197">
        <v>1</v>
      </c>
      <c r="CC78" s="197">
        <v>0</v>
      </c>
      <c r="CD78" s="197">
        <v>1</v>
      </c>
      <c r="CE78" s="197">
        <v>1</v>
      </c>
      <c r="CF78" s="197">
        <v>1</v>
      </c>
      <c r="CG78" s="197">
        <v>1</v>
      </c>
      <c r="CH78" s="197">
        <v>1</v>
      </c>
      <c r="CI78" s="197">
        <v>1</v>
      </c>
      <c r="CJ78" s="197">
        <v>1</v>
      </c>
      <c r="CK78" s="197">
        <v>1</v>
      </c>
      <c r="CL78" s="197">
        <v>1</v>
      </c>
      <c r="CM78" s="197">
        <v>1</v>
      </c>
      <c r="CN78" s="197">
        <v>0</v>
      </c>
      <c r="CO78" s="197">
        <v>1</v>
      </c>
      <c r="CP78" s="197">
        <v>1</v>
      </c>
      <c r="CQ78" s="197">
        <v>1</v>
      </c>
      <c r="CR78" s="197">
        <v>1</v>
      </c>
      <c r="CS78" s="197">
        <v>1</v>
      </c>
      <c r="CT78" s="197">
        <v>1</v>
      </c>
      <c r="CU78" s="197">
        <v>1</v>
      </c>
      <c r="CV78" s="197">
        <v>1</v>
      </c>
      <c r="CW78" s="197">
        <v>1</v>
      </c>
      <c r="CX78" s="197">
        <v>1</v>
      </c>
      <c r="CY78" s="197">
        <v>1</v>
      </c>
      <c r="CZ78" s="197">
        <v>1</v>
      </c>
      <c r="DA78" s="197">
        <v>1</v>
      </c>
      <c r="DB78" s="197">
        <v>1</v>
      </c>
      <c r="DC78" s="197">
        <v>1</v>
      </c>
      <c r="DD78" s="197">
        <v>1</v>
      </c>
      <c r="DE78" s="197">
        <v>1</v>
      </c>
      <c r="DF78" s="230">
        <v>1</v>
      </c>
      <c r="DG78" s="227">
        <f>+AVERAGE(B78:DF80)</f>
        <v>0.69902912621359226</v>
      </c>
      <c r="DH78" s="197">
        <v>0</v>
      </c>
      <c r="DI78" s="185">
        <v>0</v>
      </c>
      <c r="DJ78" s="203"/>
      <c r="DK78" s="197">
        <v>0</v>
      </c>
      <c r="DL78" s="197">
        <v>0</v>
      </c>
      <c r="DM78" s="185">
        <v>0</v>
      </c>
      <c r="DN78" s="197"/>
      <c r="DO78" s="185">
        <v>0</v>
      </c>
      <c r="DP78" s="203"/>
      <c r="DQ78" s="197">
        <v>0</v>
      </c>
      <c r="DR78" s="185">
        <v>0</v>
      </c>
      <c r="DS78" s="197">
        <v>0</v>
      </c>
      <c r="DT78" s="197">
        <v>0</v>
      </c>
      <c r="DU78" s="233"/>
      <c r="DV78" s="197">
        <v>0</v>
      </c>
      <c r="DW78" s="197">
        <v>0</v>
      </c>
      <c r="DX78" s="197">
        <v>0</v>
      </c>
      <c r="DY78" s="197">
        <v>0</v>
      </c>
      <c r="DZ78" s="197">
        <v>0</v>
      </c>
      <c r="EA78" s="197">
        <v>0</v>
      </c>
      <c r="EB78" s="197">
        <v>0</v>
      </c>
      <c r="EC78" s="197">
        <v>0</v>
      </c>
      <c r="ED78" s="197">
        <v>0</v>
      </c>
      <c r="EE78" s="197">
        <v>0</v>
      </c>
      <c r="EF78" s="197">
        <v>0</v>
      </c>
      <c r="EG78" s="197">
        <v>0</v>
      </c>
      <c r="EH78" s="197">
        <v>0</v>
      </c>
      <c r="EI78" s="197">
        <v>0</v>
      </c>
      <c r="EJ78" s="197">
        <v>0</v>
      </c>
      <c r="EK78" s="197">
        <v>0</v>
      </c>
      <c r="EL78" s="197">
        <v>0</v>
      </c>
      <c r="EM78" s="197">
        <v>0</v>
      </c>
      <c r="EN78" s="197">
        <v>0</v>
      </c>
      <c r="EO78" s="197">
        <v>0</v>
      </c>
      <c r="EP78" s="197">
        <v>0</v>
      </c>
      <c r="EQ78" s="197">
        <v>0</v>
      </c>
      <c r="ER78" s="197">
        <v>0</v>
      </c>
      <c r="ES78" s="197">
        <v>0</v>
      </c>
      <c r="ET78" s="197">
        <v>0</v>
      </c>
      <c r="EU78" s="197">
        <v>0</v>
      </c>
      <c r="EV78" s="197">
        <v>0</v>
      </c>
      <c r="EW78" s="197">
        <v>0</v>
      </c>
      <c r="EX78" s="197">
        <v>0</v>
      </c>
      <c r="EY78" s="197">
        <v>0</v>
      </c>
      <c r="EZ78" s="197">
        <v>0</v>
      </c>
      <c r="FA78" s="197">
        <v>0</v>
      </c>
      <c r="FB78" s="197">
        <v>0</v>
      </c>
      <c r="FC78" s="197">
        <v>0</v>
      </c>
      <c r="FD78" s="197">
        <v>0</v>
      </c>
      <c r="FE78" s="197">
        <v>0</v>
      </c>
      <c r="FF78" s="197">
        <v>0</v>
      </c>
      <c r="FG78" s="197">
        <v>0</v>
      </c>
      <c r="FH78" s="197">
        <v>0</v>
      </c>
      <c r="FI78" s="197">
        <v>0</v>
      </c>
      <c r="FJ78" s="197">
        <v>0</v>
      </c>
      <c r="FK78" s="197">
        <v>0</v>
      </c>
      <c r="FL78" s="227">
        <f>+AVERAGE(DH78:FK80)</f>
        <v>0</v>
      </c>
      <c r="FM78" s="185">
        <v>0</v>
      </c>
      <c r="FN78" s="197">
        <v>0</v>
      </c>
      <c r="FO78" s="197">
        <v>0</v>
      </c>
      <c r="FP78" s="197"/>
      <c r="FQ78" s="185">
        <v>0</v>
      </c>
      <c r="FR78" s="197">
        <v>0</v>
      </c>
      <c r="FS78" s="197">
        <v>0</v>
      </c>
      <c r="FT78" s="197">
        <v>0</v>
      </c>
      <c r="FU78" s="197">
        <v>0</v>
      </c>
      <c r="FV78" s="197">
        <v>0</v>
      </c>
      <c r="FW78" s="197">
        <v>0</v>
      </c>
      <c r="FX78" s="197">
        <v>0</v>
      </c>
      <c r="FY78" s="197">
        <v>0</v>
      </c>
      <c r="FZ78" s="197">
        <v>0</v>
      </c>
      <c r="GA78" s="197">
        <v>0</v>
      </c>
      <c r="GB78" s="197">
        <v>0</v>
      </c>
      <c r="GC78" s="197">
        <v>0</v>
      </c>
      <c r="GD78" s="197">
        <v>0</v>
      </c>
      <c r="GE78" s="197">
        <v>0</v>
      </c>
      <c r="GF78" s="197">
        <v>0</v>
      </c>
      <c r="GG78" s="197">
        <v>0</v>
      </c>
      <c r="GH78" s="197">
        <v>0</v>
      </c>
      <c r="GI78" s="197">
        <v>0</v>
      </c>
      <c r="GJ78" s="197">
        <v>0</v>
      </c>
      <c r="GK78" s="197">
        <v>0</v>
      </c>
      <c r="GL78" s="197">
        <v>0</v>
      </c>
      <c r="GM78" s="197">
        <v>0</v>
      </c>
      <c r="GN78" s="197">
        <v>0</v>
      </c>
      <c r="GO78" s="197">
        <v>0</v>
      </c>
      <c r="GP78" s="197">
        <v>0</v>
      </c>
      <c r="GQ78" s="197">
        <v>0</v>
      </c>
      <c r="GR78" s="197">
        <v>0</v>
      </c>
      <c r="GS78" s="197">
        <v>0</v>
      </c>
      <c r="GT78" s="197">
        <v>0</v>
      </c>
      <c r="GU78" s="197">
        <v>0</v>
      </c>
      <c r="GV78" s="197">
        <v>0</v>
      </c>
      <c r="GW78" s="197">
        <v>0</v>
      </c>
      <c r="GX78" s="197">
        <v>0</v>
      </c>
      <c r="GY78" s="197">
        <v>0</v>
      </c>
      <c r="GZ78" s="197">
        <v>0</v>
      </c>
      <c r="HA78" s="197">
        <v>0</v>
      </c>
      <c r="HB78" s="227">
        <f t="shared" ref="HB78" si="18">+AVERAGE(FM78:HA80)</f>
        <v>0</v>
      </c>
    </row>
    <row r="79" spans="1:210" ht="15" customHeight="1">
      <c r="A79" s="60"/>
      <c r="B79" s="186"/>
      <c r="C79" s="168"/>
      <c r="D79" s="198"/>
      <c r="E79" s="168"/>
      <c r="F79" s="186"/>
      <c r="G79" s="168"/>
      <c r="H79" s="198"/>
      <c r="I79" s="198"/>
      <c r="J79" s="186"/>
      <c r="K79" s="168"/>
      <c r="L79" s="198"/>
      <c r="M79" s="168"/>
      <c r="N79" s="198"/>
      <c r="O79" s="186"/>
      <c r="P79" s="198"/>
      <c r="Q79" s="198"/>
      <c r="R79" s="171"/>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231"/>
      <c r="DG79" s="228"/>
      <c r="DH79" s="198"/>
      <c r="DI79" s="186"/>
      <c r="DJ79" s="204"/>
      <c r="DK79" s="198"/>
      <c r="DL79" s="198"/>
      <c r="DM79" s="186"/>
      <c r="DN79" s="198"/>
      <c r="DO79" s="186"/>
      <c r="DP79" s="204"/>
      <c r="DQ79" s="198"/>
      <c r="DR79" s="186"/>
      <c r="DS79" s="198"/>
      <c r="DT79" s="198"/>
      <c r="DU79" s="234"/>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228"/>
      <c r="FM79" s="186"/>
      <c r="FN79" s="198"/>
      <c r="FO79" s="198"/>
      <c r="FP79" s="198"/>
      <c r="FQ79" s="186"/>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228"/>
    </row>
    <row r="80" spans="1:210" ht="57" thickBot="1">
      <c r="A80" s="57" t="s">
        <v>708</v>
      </c>
      <c r="B80" s="187"/>
      <c r="C80" s="169"/>
      <c r="D80" s="199"/>
      <c r="E80" s="169"/>
      <c r="F80" s="187"/>
      <c r="G80" s="169"/>
      <c r="H80" s="199"/>
      <c r="I80" s="199"/>
      <c r="J80" s="187"/>
      <c r="K80" s="169"/>
      <c r="L80" s="199"/>
      <c r="M80" s="169"/>
      <c r="N80" s="199"/>
      <c r="O80" s="187"/>
      <c r="P80" s="199"/>
      <c r="Q80" s="199"/>
      <c r="R80" s="172"/>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232"/>
      <c r="DG80" s="229"/>
      <c r="DH80" s="199"/>
      <c r="DI80" s="187"/>
      <c r="DJ80" s="205"/>
      <c r="DK80" s="199"/>
      <c r="DL80" s="199"/>
      <c r="DM80" s="187"/>
      <c r="DN80" s="199"/>
      <c r="DO80" s="187"/>
      <c r="DP80" s="205"/>
      <c r="DQ80" s="199"/>
      <c r="DR80" s="187"/>
      <c r="DS80" s="199"/>
      <c r="DT80" s="199"/>
      <c r="DU80" s="235"/>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229"/>
      <c r="FM80" s="187"/>
      <c r="FN80" s="199"/>
      <c r="FO80" s="199"/>
      <c r="FP80" s="199"/>
      <c r="FQ80" s="187"/>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229"/>
    </row>
    <row r="81" spans="1:210" s="72" customFormat="1" ht="16" customHeight="1" thickTop="1">
      <c r="A81" s="63" t="s">
        <v>707</v>
      </c>
      <c r="B81" s="185">
        <v>0</v>
      </c>
      <c r="C81" s="167" t="s">
        <v>852</v>
      </c>
      <c r="D81" s="197">
        <v>0</v>
      </c>
      <c r="E81" s="167" t="s">
        <v>853</v>
      </c>
      <c r="F81" s="185">
        <v>0</v>
      </c>
      <c r="G81" s="167" t="s">
        <v>870</v>
      </c>
      <c r="H81" s="197">
        <v>0</v>
      </c>
      <c r="I81" s="197">
        <v>0</v>
      </c>
      <c r="J81" s="185">
        <v>0</v>
      </c>
      <c r="K81" s="167" t="s">
        <v>877</v>
      </c>
      <c r="L81" s="197">
        <v>0</v>
      </c>
      <c r="M81" s="167" t="s">
        <v>886</v>
      </c>
      <c r="N81" s="197">
        <v>0</v>
      </c>
      <c r="O81" s="185">
        <v>0</v>
      </c>
      <c r="P81" s="197">
        <v>0</v>
      </c>
      <c r="Q81" s="197">
        <v>0</v>
      </c>
      <c r="R81" s="170" t="s">
        <v>825</v>
      </c>
      <c r="S81" s="197">
        <v>0</v>
      </c>
      <c r="T81" s="197">
        <v>0</v>
      </c>
      <c r="U81" s="197">
        <v>0</v>
      </c>
      <c r="V81" s="197">
        <v>0</v>
      </c>
      <c r="W81" s="197">
        <v>0</v>
      </c>
      <c r="X81" s="197">
        <v>0</v>
      </c>
      <c r="Y81" s="197">
        <v>0</v>
      </c>
      <c r="Z81" s="197">
        <v>0</v>
      </c>
      <c r="AA81" s="197">
        <v>0</v>
      </c>
      <c r="AB81" s="197">
        <v>0</v>
      </c>
      <c r="AC81" s="197">
        <v>0</v>
      </c>
      <c r="AD81" s="197">
        <v>0</v>
      </c>
      <c r="AE81" s="197">
        <v>0</v>
      </c>
      <c r="AF81" s="197">
        <v>0</v>
      </c>
      <c r="AG81" s="197">
        <v>0</v>
      </c>
      <c r="AH81" s="197">
        <v>0</v>
      </c>
      <c r="AI81" s="197">
        <v>1</v>
      </c>
      <c r="AJ81" s="197">
        <v>0</v>
      </c>
      <c r="AK81" s="197">
        <v>0</v>
      </c>
      <c r="AL81" s="197">
        <v>0</v>
      </c>
      <c r="AM81" s="197">
        <v>0</v>
      </c>
      <c r="AN81" s="197">
        <v>0</v>
      </c>
      <c r="AO81" s="197">
        <v>0</v>
      </c>
      <c r="AP81" s="197">
        <v>0</v>
      </c>
      <c r="AQ81" s="197">
        <v>0</v>
      </c>
      <c r="AR81" s="197">
        <v>0</v>
      </c>
      <c r="AS81" s="197">
        <v>0</v>
      </c>
      <c r="AT81" s="197">
        <v>0</v>
      </c>
      <c r="AU81" s="197">
        <v>0</v>
      </c>
      <c r="AV81" s="197">
        <v>0</v>
      </c>
      <c r="AW81" s="197">
        <v>0</v>
      </c>
      <c r="AX81" s="197">
        <v>0</v>
      </c>
      <c r="AY81" s="197">
        <v>0</v>
      </c>
      <c r="AZ81" s="197">
        <v>0</v>
      </c>
      <c r="BA81" s="197">
        <v>0</v>
      </c>
      <c r="BB81" s="197">
        <v>0</v>
      </c>
      <c r="BC81" s="197">
        <v>0</v>
      </c>
      <c r="BD81" s="197">
        <v>0</v>
      </c>
      <c r="BE81" s="197">
        <v>0</v>
      </c>
      <c r="BF81" s="197">
        <v>0</v>
      </c>
      <c r="BG81" s="197">
        <v>0</v>
      </c>
      <c r="BH81" s="197">
        <v>0</v>
      </c>
      <c r="BI81" s="197">
        <v>0</v>
      </c>
      <c r="BJ81" s="197">
        <v>0</v>
      </c>
      <c r="BK81" s="197">
        <v>0</v>
      </c>
      <c r="BL81" s="197">
        <v>0</v>
      </c>
      <c r="BM81" s="197">
        <v>0</v>
      </c>
      <c r="BN81" s="197">
        <v>1</v>
      </c>
      <c r="BO81" s="197">
        <v>0</v>
      </c>
      <c r="BP81" s="197">
        <v>0</v>
      </c>
      <c r="BQ81" s="197">
        <v>0</v>
      </c>
      <c r="BR81" s="197">
        <v>0</v>
      </c>
      <c r="BS81" s="197">
        <v>0</v>
      </c>
      <c r="BT81" s="197">
        <v>0</v>
      </c>
      <c r="BU81" s="197">
        <v>0</v>
      </c>
      <c r="BV81" s="197">
        <v>0</v>
      </c>
      <c r="BW81" s="197">
        <v>0</v>
      </c>
      <c r="BX81" s="197">
        <v>0</v>
      </c>
      <c r="BY81" s="197">
        <v>1</v>
      </c>
      <c r="BZ81" s="197">
        <v>0</v>
      </c>
      <c r="CA81" s="197">
        <v>0</v>
      </c>
      <c r="CB81" s="197">
        <v>0</v>
      </c>
      <c r="CC81" s="197">
        <v>0</v>
      </c>
      <c r="CD81" s="197">
        <v>1</v>
      </c>
      <c r="CE81" s="197">
        <v>0</v>
      </c>
      <c r="CF81" s="197">
        <v>0</v>
      </c>
      <c r="CG81" s="197">
        <v>0</v>
      </c>
      <c r="CH81" s="197">
        <v>0</v>
      </c>
      <c r="CI81" s="197">
        <v>0</v>
      </c>
      <c r="CJ81" s="197">
        <v>0</v>
      </c>
      <c r="CK81" s="197">
        <v>0</v>
      </c>
      <c r="CL81" s="197">
        <v>0</v>
      </c>
      <c r="CM81" s="197">
        <v>0</v>
      </c>
      <c r="CN81" s="197">
        <v>0</v>
      </c>
      <c r="CO81" s="197">
        <v>0</v>
      </c>
      <c r="CP81" s="197">
        <v>0</v>
      </c>
      <c r="CQ81" s="197">
        <v>0</v>
      </c>
      <c r="CR81" s="197">
        <v>0</v>
      </c>
      <c r="CS81" s="197">
        <v>0</v>
      </c>
      <c r="CT81" s="197">
        <v>0</v>
      </c>
      <c r="CU81" s="197">
        <v>0</v>
      </c>
      <c r="CV81" s="197">
        <v>0</v>
      </c>
      <c r="CW81" s="197">
        <v>0</v>
      </c>
      <c r="CX81" s="197">
        <v>0</v>
      </c>
      <c r="CY81" s="197">
        <v>0</v>
      </c>
      <c r="CZ81" s="197">
        <v>0</v>
      </c>
      <c r="DA81" s="197">
        <v>0</v>
      </c>
      <c r="DB81" s="197">
        <v>0</v>
      </c>
      <c r="DC81" s="197">
        <v>0</v>
      </c>
      <c r="DD81" s="197">
        <v>0</v>
      </c>
      <c r="DE81" s="197">
        <v>0</v>
      </c>
      <c r="DF81" s="230">
        <v>0</v>
      </c>
      <c r="DG81" s="227">
        <f>+AVERAGE(B81:DF83)</f>
        <v>3.8834951456310676E-2</v>
      </c>
      <c r="DH81" s="197">
        <v>0</v>
      </c>
      <c r="DI81" s="185">
        <v>0</v>
      </c>
      <c r="DJ81" s="203"/>
      <c r="DK81" s="197">
        <v>0</v>
      </c>
      <c r="DL81" s="197">
        <v>0</v>
      </c>
      <c r="DM81" s="185">
        <v>0</v>
      </c>
      <c r="DN81" s="197"/>
      <c r="DO81" s="185">
        <v>0</v>
      </c>
      <c r="DP81" s="203"/>
      <c r="DQ81" s="197">
        <v>0</v>
      </c>
      <c r="DR81" s="185">
        <v>0</v>
      </c>
      <c r="DS81" s="197">
        <v>0</v>
      </c>
      <c r="DT81" s="197">
        <v>0</v>
      </c>
      <c r="DU81" s="233"/>
      <c r="DV81" s="197">
        <v>0</v>
      </c>
      <c r="DW81" s="197">
        <v>0</v>
      </c>
      <c r="DX81" s="197">
        <v>0</v>
      </c>
      <c r="DY81" s="197">
        <v>0</v>
      </c>
      <c r="DZ81" s="197">
        <v>0</v>
      </c>
      <c r="EA81" s="197">
        <v>0</v>
      </c>
      <c r="EB81" s="197">
        <v>0</v>
      </c>
      <c r="EC81" s="197">
        <v>0</v>
      </c>
      <c r="ED81" s="197">
        <v>0</v>
      </c>
      <c r="EE81" s="197">
        <v>0</v>
      </c>
      <c r="EF81" s="197">
        <v>0</v>
      </c>
      <c r="EG81" s="197">
        <v>0</v>
      </c>
      <c r="EH81" s="197">
        <v>0</v>
      </c>
      <c r="EI81" s="197">
        <v>0</v>
      </c>
      <c r="EJ81" s="197">
        <v>0</v>
      </c>
      <c r="EK81" s="197">
        <v>0</v>
      </c>
      <c r="EL81" s="197">
        <v>0</v>
      </c>
      <c r="EM81" s="197">
        <v>0</v>
      </c>
      <c r="EN81" s="197">
        <v>0</v>
      </c>
      <c r="EO81" s="197">
        <v>0</v>
      </c>
      <c r="EP81" s="197">
        <v>0</v>
      </c>
      <c r="EQ81" s="197">
        <v>0</v>
      </c>
      <c r="ER81" s="197">
        <v>0</v>
      </c>
      <c r="ES81" s="197">
        <v>0</v>
      </c>
      <c r="ET81" s="197">
        <v>0</v>
      </c>
      <c r="EU81" s="197">
        <v>0</v>
      </c>
      <c r="EV81" s="197">
        <v>0</v>
      </c>
      <c r="EW81" s="197">
        <v>0</v>
      </c>
      <c r="EX81" s="197">
        <v>0</v>
      </c>
      <c r="EY81" s="197">
        <v>0</v>
      </c>
      <c r="EZ81" s="197">
        <v>0</v>
      </c>
      <c r="FA81" s="197">
        <v>0</v>
      </c>
      <c r="FB81" s="197">
        <v>0</v>
      </c>
      <c r="FC81" s="197">
        <v>0</v>
      </c>
      <c r="FD81" s="197">
        <v>0</v>
      </c>
      <c r="FE81" s="197">
        <v>0</v>
      </c>
      <c r="FF81" s="197">
        <v>0</v>
      </c>
      <c r="FG81" s="197">
        <v>0</v>
      </c>
      <c r="FH81" s="197">
        <v>0</v>
      </c>
      <c r="FI81" s="197">
        <v>0</v>
      </c>
      <c r="FJ81" s="197">
        <v>0</v>
      </c>
      <c r="FK81" s="197">
        <v>0</v>
      </c>
      <c r="FL81" s="227">
        <f>+AVERAGE(DH81:FK83)</f>
        <v>0</v>
      </c>
      <c r="FM81" s="185">
        <v>0</v>
      </c>
      <c r="FN81" s="197">
        <v>0</v>
      </c>
      <c r="FO81" s="197">
        <v>0</v>
      </c>
      <c r="FP81" s="197"/>
      <c r="FQ81" s="185">
        <v>0</v>
      </c>
      <c r="FR81" s="197">
        <v>0</v>
      </c>
      <c r="FS81" s="197">
        <v>0</v>
      </c>
      <c r="FT81" s="197">
        <v>0</v>
      </c>
      <c r="FU81" s="197">
        <v>0</v>
      </c>
      <c r="FV81" s="197">
        <v>0</v>
      </c>
      <c r="FW81" s="197">
        <v>0</v>
      </c>
      <c r="FX81" s="197">
        <v>0</v>
      </c>
      <c r="FY81" s="197">
        <v>0</v>
      </c>
      <c r="FZ81" s="197">
        <v>0</v>
      </c>
      <c r="GA81" s="197">
        <v>0</v>
      </c>
      <c r="GB81" s="197">
        <v>0</v>
      </c>
      <c r="GC81" s="197">
        <v>0</v>
      </c>
      <c r="GD81" s="197">
        <v>0</v>
      </c>
      <c r="GE81" s="197">
        <v>0</v>
      </c>
      <c r="GF81" s="197">
        <v>0</v>
      </c>
      <c r="GG81" s="197">
        <v>0</v>
      </c>
      <c r="GH81" s="197">
        <v>0</v>
      </c>
      <c r="GI81" s="197">
        <v>1</v>
      </c>
      <c r="GJ81" s="197">
        <v>0</v>
      </c>
      <c r="GK81" s="197">
        <v>0</v>
      </c>
      <c r="GL81" s="197">
        <v>0</v>
      </c>
      <c r="GM81" s="197">
        <v>0</v>
      </c>
      <c r="GN81" s="197">
        <v>0</v>
      </c>
      <c r="GO81" s="197">
        <v>0</v>
      </c>
      <c r="GP81" s="197">
        <v>0</v>
      </c>
      <c r="GQ81" s="197">
        <v>0</v>
      </c>
      <c r="GR81" s="197">
        <v>0</v>
      </c>
      <c r="GS81" s="197">
        <v>0</v>
      </c>
      <c r="GT81" s="197">
        <v>0</v>
      </c>
      <c r="GU81" s="197">
        <v>0</v>
      </c>
      <c r="GV81" s="197">
        <v>0</v>
      </c>
      <c r="GW81" s="197">
        <v>0</v>
      </c>
      <c r="GX81" s="197">
        <v>0</v>
      </c>
      <c r="GY81" s="197">
        <v>0</v>
      </c>
      <c r="GZ81" s="197">
        <v>0</v>
      </c>
      <c r="HA81" s="197">
        <v>0</v>
      </c>
      <c r="HB81" s="227">
        <f t="shared" ref="HB81" si="19">+AVERAGE(FM81:HA83)</f>
        <v>2.5000000000000001E-2</v>
      </c>
    </row>
    <row r="82" spans="1:210" ht="15" customHeight="1">
      <c r="A82" s="60" t="s">
        <v>25</v>
      </c>
      <c r="B82" s="186"/>
      <c r="C82" s="168"/>
      <c r="D82" s="198"/>
      <c r="E82" s="168"/>
      <c r="F82" s="186"/>
      <c r="G82" s="168"/>
      <c r="H82" s="198"/>
      <c r="I82" s="198"/>
      <c r="J82" s="186"/>
      <c r="K82" s="168"/>
      <c r="L82" s="198"/>
      <c r="M82" s="168"/>
      <c r="N82" s="198"/>
      <c r="O82" s="186"/>
      <c r="P82" s="198"/>
      <c r="Q82" s="198"/>
      <c r="R82" s="171"/>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231"/>
      <c r="DG82" s="228"/>
      <c r="DH82" s="198"/>
      <c r="DI82" s="186"/>
      <c r="DJ82" s="204"/>
      <c r="DK82" s="198"/>
      <c r="DL82" s="198"/>
      <c r="DM82" s="186"/>
      <c r="DN82" s="198"/>
      <c r="DO82" s="186"/>
      <c r="DP82" s="204"/>
      <c r="DQ82" s="198"/>
      <c r="DR82" s="186"/>
      <c r="DS82" s="198"/>
      <c r="DT82" s="198"/>
      <c r="DU82" s="234"/>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228"/>
      <c r="FM82" s="186"/>
      <c r="FN82" s="198"/>
      <c r="FO82" s="198"/>
      <c r="FP82" s="198"/>
      <c r="FQ82" s="186"/>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228"/>
    </row>
    <row r="83" spans="1:210" ht="43" thickBot="1">
      <c r="A83" s="57" t="s">
        <v>706</v>
      </c>
      <c r="B83" s="187"/>
      <c r="C83" s="169"/>
      <c r="D83" s="199"/>
      <c r="E83" s="169"/>
      <c r="F83" s="187"/>
      <c r="G83" s="169"/>
      <c r="H83" s="199"/>
      <c r="I83" s="199"/>
      <c r="J83" s="187"/>
      <c r="K83" s="169"/>
      <c r="L83" s="199"/>
      <c r="M83" s="169"/>
      <c r="N83" s="199"/>
      <c r="O83" s="187"/>
      <c r="P83" s="199"/>
      <c r="Q83" s="199"/>
      <c r="R83" s="172"/>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232"/>
      <c r="DG83" s="229"/>
      <c r="DH83" s="199"/>
      <c r="DI83" s="187"/>
      <c r="DJ83" s="205"/>
      <c r="DK83" s="199"/>
      <c r="DL83" s="199"/>
      <c r="DM83" s="187"/>
      <c r="DN83" s="199"/>
      <c r="DO83" s="187"/>
      <c r="DP83" s="205"/>
      <c r="DQ83" s="199"/>
      <c r="DR83" s="187"/>
      <c r="DS83" s="199"/>
      <c r="DT83" s="199"/>
      <c r="DU83" s="235"/>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229"/>
      <c r="FM83" s="187"/>
      <c r="FN83" s="199"/>
      <c r="FO83" s="199"/>
      <c r="FP83" s="199"/>
      <c r="FQ83" s="187"/>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229"/>
    </row>
    <row r="84" spans="1:210" ht="16" customHeight="1" thickTop="1">
      <c r="A84" s="59" t="s">
        <v>705</v>
      </c>
      <c r="B84" s="185">
        <v>0</v>
      </c>
      <c r="C84" s="167" t="s">
        <v>854</v>
      </c>
      <c r="D84" s="197">
        <v>0</v>
      </c>
      <c r="E84" s="167" t="s">
        <v>855</v>
      </c>
      <c r="F84" s="185">
        <v>0</v>
      </c>
      <c r="G84" s="167" t="s">
        <v>871</v>
      </c>
      <c r="H84" s="185">
        <v>0</v>
      </c>
      <c r="I84" s="185">
        <v>0</v>
      </c>
      <c r="J84" s="197">
        <v>0</v>
      </c>
      <c r="K84" s="167" t="s">
        <v>878</v>
      </c>
      <c r="L84" s="197">
        <v>0</v>
      </c>
      <c r="M84" s="167" t="s">
        <v>887</v>
      </c>
      <c r="N84" s="197">
        <v>1</v>
      </c>
      <c r="O84" s="185"/>
      <c r="P84" s="197">
        <v>0</v>
      </c>
      <c r="Q84" s="197">
        <v>0</v>
      </c>
      <c r="R84" s="170" t="s">
        <v>826</v>
      </c>
      <c r="S84" s="197">
        <v>0</v>
      </c>
      <c r="T84" s="197">
        <v>0</v>
      </c>
      <c r="U84" s="197">
        <v>0</v>
      </c>
      <c r="V84" s="197">
        <v>0</v>
      </c>
      <c r="W84" s="197">
        <v>0</v>
      </c>
      <c r="X84" s="197">
        <v>0</v>
      </c>
      <c r="Y84" s="197">
        <v>0</v>
      </c>
      <c r="Z84" s="197">
        <v>0</v>
      </c>
      <c r="AA84" s="197">
        <v>0</v>
      </c>
      <c r="AB84" s="197">
        <v>0</v>
      </c>
      <c r="AC84" s="197">
        <v>0</v>
      </c>
      <c r="AD84" s="197">
        <v>0</v>
      </c>
      <c r="AE84" s="197">
        <v>0</v>
      </c>
      <c r="AF84" s="197">
        <v>0</v>
      </c>
      <c r="AG84" s="197">
        <v>0</v>
      </c>
      <c r="AH84" s="197">
        <v>0</v>
      </c>
      <c r="AI84" s="197">
        <v>0</v>
      </c>
      <c r="AJ84" s="197">
        <v>0</v>
      </c>
      <c r="AK84" s="197">
        <v>0</v>
      </c>
      <c r="AL84" s="197">
        <v>0</v>
      </c>
      <c r="AM84" s="197">
        <v>0</v>
      </c>
      <c r="AN84" s="197">
        <v>0</v>
      </c>
      <c r="AO84" s="197">
        <v>0</v>
      </c>
      <c r="AP84" s="197">
        <v>0</v>
      </c>
      <c r="AQ84" s="197">
        <v>0</v>
      </c>
      <c r="AR84" s="197">
        <v>0</v>
      </c>
      <c r="AS84" s="197">
        <v>0</v>
      </c>
      <c r="AT84" s="197">
        <v>0</v>
      </c>
      <c r="AU84" s="197">
        <v>0</v>
      </c>
      <c r="AV84" s="197">
        <v>0</v>
      </c>
      <c r="AW84" s="197">
        <v>0</v>
      </c>
      <c r="AX84" s="197">
        <v>0</v>
      </c>
      <c r="AY84" s="197">
        <v>0</v>
      </c>
      <c r="AZ84" s="197">
        <v>0</v>
      </c>
      <c r="BA84" s="197">
        <v>0</v>
      </c>
      <c r="BB84" s="197">
        <v>0</v>
      </c>
      <c r="BC84" s="197">
        <v>0</v>
      </c>
      <c r="BD84" s="197">
        <v>0</v>
      </c>
      <c r="BE84" s="197">
        <v>0</v>
      </c>
      <c r="BF84" s="197">
        <v>0</v>
      </c>
      <c r="BG84" s="197">
        <v>0</v>
      </c>
      <c r="BH84" s="197">
        <v>0</v>
      </c>
      <c r="BI84" s="197">
        <v>0</v>
      </c>
      <c r="BJ84" s="197">
        <v>0</v>
      </c>
      <c r="BK84" s="197">
        <v>0</v>
      </c>
      <c r="BL84" s="197">
        <v>0</v>
      </c>
      <c r="BM84" s="197">
        <v>0</v>
      </c>
      <c r="BN84" s="197">
        <v>0</v>
      </c>
      <c r="BO84" s="197">
        <v>0</v>
      </c>
      <c r="BP84" s="197">
        <v>0</v>
      </c>
      <c r="BQ84" s="197">
        <v>0</v>
      </c>
      <c r="BR84" s="197">
        <v>0</v>
      </c>
      <c r="BS84" s="197">
        <v>0</v>
      </c>
      <c r="BT84" s="197">
        <v>0</v>
      </c>
      <c r="BU84" s="197">
        <v>0</v>
      </c>
      <c r="BV84" s="197">
        <v>0</v>
      </c>
      <c r="BW84" s="197">
        <v>0</v>
      </c>
      <c r="BX84" s="197">
        <v>0</v>
      </c>
      <c r="BY84" s="197">
        <v>0</v>
      </c>
      <c r="BZ84" s="197">
        <v>0</v>
      </c>
      <c r="CA84" s="197">
        <v>0</v>
      </c>
      <c r="CB84" s="197">
        <v>0</v>
      </c>
      <c r="CC84" s="197">
        <v>0</v>
      </c>
      <c r="CD84" s="197">
        <v>0</v>
      </c>
      <c r="CE84" s="197">
        <v>1</v>
      </c>
      <c r="CF84" s="197">
        <v>1</v>
      </c>
      <c r="CG84" s="197">
        <v>1</v>
      </c>
      <c r="CH84" s="197">
        <v>0</v>
      </c>
      <c r="CI84" s="197">
        <v>0</v>
      </c>
      <c r="CJ84" s="197">
        <v>0</v>
      </c>
      <c r="CK84" s="197">
        <v>0</v>
      </c>
      <c r="CL84" s="197">
        <v>0</v>
      </c>
      <c r="CM84" s="197">
        <v>0</v>
      </c>
      <c r="CN84" s="197">
        <v>0</v>
      </c>
      <c r="CO84" s="197">
        <v>0</v>
      </c>
      <c r="CP84" s="197">
        <v>0</v>
      </c>
      <c r="CQ84" s="197">
        <v>1</v>
      </c>
      <c r="CR84" s="197">
        <v>0</v>
      </c>
      <c r="CS84" s="197">
        <v>0</v>
      </c>
      <c r="CT84" s="197">
        <v>0</v>
      </c>
      <c r="CU84" s="197">
        <v>0</v>
      </c>
      <c r="CV84" s="197">
        <v>0</v>
      </c>
      <c r="CW84" s="197">
        <v>0</v>
      </c>
      <c r="CX84" s="197">
        <v>0</v>
      </c>
      <c r="CY84" s="197">
        <v>0</v>
      </c>
      <c r="CZ84" s="197">
        <v>0</v>
      </c>
      <c r="DA84" s="197">
        <v>0</v>
      </c>
      <c r="DB84" s="197">
        <v>0</v>
      </c>
      <c r="DC84" s="197">
        <v>0</v>
      </c>
      <c r="DD84" s="197">
        <v>0</v>
      </c>
      <c r="DE84" s="197">
        <v>0</v>
      </c>
      <c r="DF84" s="230">
        <v>0</v>
      </c>
      <c r="DG84" s="227">
        <f>+AVERAGE(B84:DF86)</f>
        <v>4.9019607843137254E-2</v>
      </c>
      <c r="DH84" s="197">
        <v>0</v>
      </c>
      <c r="DI84" s="185">
        <v>0</v>
      </c>
      <c r="DJ84" s="203" t="s">
        <v>871</v>
      </c>
      <c r="DK84" s="185">
        <v>0</v>
      </c>
      <c r="DL84" s="185">
        <v>0</v>
      </c>
      <c r="DM84" s="185">
        <v>0</v>
      </c>
      <c r="DN84" s="197">
        <v>0</v>
      </c>
      <c r="DO84" s="197">
        <v>0</v>
      </c>
      <c r="DP84" s="203" t="s">
        <v>878</v>
      </c>
      <c r="DQ84" s="197">
        <v>1</v>
      </c>
      <c r="DR84" s="185">
        <v>0</v>
      </c>
      <c r="DS84" s="197">
        <v>0</v>
      </c>
      <c r="DT84" s="197">
        <v>0</v>
      </c>
      <c r="DU84" s="233" t="s">
        <v>826</v>
      </c>
      <c r="DV84" s="197">
        <v>0</v>
      </c>
      <c r="DW84" s="197">
        <v>0</v>
      </c>
      <c r="DX84" s="197">
        <v>0</v>
      </c>
      <c r="DY84" s="197">
        <v>0</v>
      </c>
      <c r="DZ84" s="197">
        <v>0</v>
      </c>
      <c r="EA84" s="197">
        <v>0</v>
      </c>
      <c r="EB84" s="197">
        <v>0</v>
      </c>
      <c r="EC84" s="197">
        <v>0</v>
      </c>
      <c r="ED84" s="197">
        <v>0</v>
      </c>
      <c r="EE84" s="197">
        <v>0</v>
      </c>
      <c r="EF84" s="197">
        <v>0</v>
      </c>
      <c r="EG84" s="197">
        <v>0</v>
      </c>
      <c r="EH84" s="197">
        <v>0</v>
      </c>
      <c r="EI84" s="197">
        <v>0</v>
      </c>
      <c r="EJ84" s="197">
        <v>0</v>
      </c>
      <c r="EK84" s="197">
        <v>0</v>
      </c>
      <c r="EL84" s="197">
        <v>0</v>
      </c>
      <c r="EM84" s="197">
        <v>0</v>
      </c>
      <c r="EN84" s="197">
        <v>0</v>
      </c>
      <c r="EO84" s="197">
        <v>0</v>
      </c>
      <c r="EP84" s="197">
        <v>0</v>
      </c>
      <c r="EQ84" s="197">
        <v>0</v>
      </c>
      <c r="ER84" s="197">
        <v>0</v>
      </c>
      <c r="ES84" s="197">
        <v>0</v>
      </c>
      <c r="ET84" s="197">
        <v>0</v>
      </c>
      <c r="EU84" s="197">
        <v>0</v>
      </c>
      <c r="EV84" s="197">
        <v>1</v>
      </c>
      <c r="EW84" s="197">
        <v>1</v>
      </c>
      <c r="EX84" s="197">
        <v>1</v>
      </c>
      <c r="EY84" s="197">
        <v>0</v>
      </c>
      <c r="EZ84" s="197">
        <v>0</v>
      </c>
      <c r="FA84" s="197">
        <v>0</v>
      </c>
      <c r="FB84" s="197">
        <v>0</v>
      </c>
      <c r="FC84" s="197">
        <v>1</v>
      </c>
      <c r="FD84" s="197">
        <v>0</v>
      </c>
      <c r="FE84" s="197">
        <v>0</v>
      </c>
      <c r="FF84" s="197">
        <v>0</v>
      </c>
      <c r="FG84" s="197">
        <v>0</v>
      </c>
      <c r="FH84" s="197">
        <v>0</v>
      </c>
      <c r="FI84" s="197">
        <v>0</v>
      </c>
      <c r="FJ84" s="197">
        <v>0</v>
      </c>
      <c r="FK84" s="197">
        <v>0</v>
      </c>
      <c r="FL84" s="227">
        <f>+AVERAGE(DH84:FK86)</f>
        <v>9.4339622641509441E-2</v>
      </c>
      <c r="FM84" s="185">
        <v>0</v>
      </c>
      <c r="FN84" s="185">
        <v>0</v>
      </c>
      <c r="FO84" s="185">
        <v>0</v>
      </c>
      <c r="FP84" s="197">
        <v>0</v>
      </c>
      <c r="FQ84" s="197">
        <v>0</v>
      </c>
      <c r="FR84" s="197">
        <v>0</v>
      </c>
      <c r="FS84" s="197">
        <v>0</v>
      </c>
      <c r="FT84" s="197">
        <v>0</v>
      </c>
      <c r="FU84" s="197">
        <v>0</v>
      </c>
      <c r="FV84" s="197">
        <v>0</v>
      </c>
      <c r="FW84" s="197">
        <v>0</v>
      </c>
      <c r="FX84" s="197">
        <v>0</v>
      </c>
      <c r="FY84" s="197">
        <v>0</v>
      </c>
      <c r="FZ84" s="197">
        <v>0</v>
      </c>
      <c r="GA84" s="197">
        <v>0</v>
      </c>
      <c r="GB84" s="197">
        <v>0</v>
      </c>
      <c r="GC84" s="197">
        <v>0</v>
      </c>
      <c r="GD84" s="197">
        <v>0</v>
      </c>
      <c r="GE84" s="197">
        <v>0</v>
      </c>
      <c r="GF84" s="197">
        <v>0</v>
      </c>
      <c r="GG84" s="197">
        <v>0</v>
      </c>
      <c r="GH84" s="197">
        <v>0</v>
      </c>
      <c r="GI84" s="197">
        <v>0</v>
      </c>
      <c r="GJ84" s="197">
        <v>0</v>
      </c>
      <c r="GK84" s="197">
        <v>0</v>
      </c>
      <c r="GL84" s="197">
        <v>0</v>
      </c>
      <c r="GM84" s="197">
        <v>0</v>
      </c>
      <c r="GN84" s="197">
        <v>0</v>
      </c>
      <c r="GO84" s="197">
        <v>1</v>
      </c>
      <c r="GP84" s="197">
        <v>1</v>
      </c>
      <c r="GQ84" s="197">
        <v>1</v>
      </c>
      <c r="GR84" s="197">
        <v>0</v>
      </c>
      <c r="GS84" s="197">
        <v>0</v>
      </c>
      <c r="GT84" s="197">
        <v>1</v>
      </c>
      <c r="GU84" s="197">
        <v>0</v>
      </c>
      <c r="GV84" s="197">
        <v>0</v>
      </c>
      <c r="GW84" s="197">
        <v>0</v>
      </c>
      <c r="GX84" s="197">
        <v>0</v>
      </c>
      <c r="GY84" s="197">
        <v>0</v>
      </c>
      <c r="GZ84" s="197">
        <v>0</v>
      </c>
      <c r="HA84" s="197">
        <v>0</v>
      </c>
      <c r="HB84" s="227">
        <f t="shared" ref="HB84" si="20">+AVERAGE(FM84:HA86)</f>
        <v>9.7560975609756101E-2</v>
      </c>
    </row>
    <row r="85" spans="1:210" ht="15" customHeight="1">
      <c r="A85" s="60"/>
      <c r="B85" s="186"/>
      <c r="C85" s="168"/>
      <c r="D85" s="198"/>
      <c r="E85" s="168"/>
      <c r="F85" s="186"/>
      <c r="G85" s="168"/>
      <c r="H85" s="186"/>
      <c r="I85" s="186"/>
      <c r="J85" s="198"/>
      <c r="K85" s="168"/>
      <c r="L85" s="198"/>
      <c r="M85" s="168"/>
      <c r="N85" s="198"/>
      <c r="O85" s="186"/>
      <c r="P85" s="198"/>
      <c r="Q85" s="198"/>
      <c r="R85" s="171"/>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231"/>
      <c r="DG85" s="228"/>
      <c r="DH85" s="198"/>
      <c r="DI85" s="186"/>
      <c r="DJ85" s="204"/>
      <c r="DK85" s="186"/>
      <c r="DL85" s="186"/>
      <c r="DM85" s="186"/>
      <c r="DN85" s="198"/>
      <c r="DO85" s="198"/>
      <c r="DP85" s="204"/>
      <c r="DQ85" s="198"/>
      <c r="DR85" s="186"/>
      <c r="DS85" s="198"/>
      <c r="DT85" s="198"/>
      <c r="DU85" s="234"/>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228"/>
      <c r="FM85" s="186"/>
      <c r="FN85" s="186"/>
      <c r="FO85" s="186"/>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228"/>
    </row>
    <row r="86" spans="1:210" ht="71" thickBot="1">
      <c r="A86" s="64" t="s">
        <v>704</v>
      </c>
      <c r="B86" s="187"/>
      <c r="C86" s="169"/>
      <c r="D86" s="199"/>
      <c r="E86" s="169"/>
      <c r="F86" s="187"/>
      <c r="G86" s="169"/>
      <c r="H86" s="187"/>
      <c r="I86" s="187"/>
      <c r="J86" s="199"/>
      <c r="K86" s="169"/>
      <c r="L86" s="199"/>
      <c r="M86" s="169"/>
      <c r="N86" s="199"/>
      <c r="O86" s="187"/>
      <c r="P86" s="199"/>
      <c r="Q86" s="199"/>
      <c r="R86" s="172"/>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232"/>
      <c r="DG86" s="229"/>
      <c r="DH86" s="199"/>
      <c r="DI86" s="187"/>
      <c r="DJ86" s="205"/>
      <c r="DK86" s="187"/>
      <c r="DL86" s="187"/>
      <c r="DM86" s="187"/>
      <c r="DN86" s="199"/>
      <c r="DO86" s="199"/>
      <c r="DP86" s="205"/>
      <c r="DQ86" s="199"/>
      <c r="DR86" s="187"/>
      <c r="DS86" s="199"/>
      <c r="DT86" s="199"/>
      <c r="DU86" s="235"/>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229"/>
      <c r="FM86" s="187"/>
      <c r="FN86" s="187"/>
      <c r="FO86" s="187"/>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229"/>
    </row>
    <row r="87" spans="1:210" ht="16" customHeight="1" thickTop="1">
      <c r="A87" s="59" t="s">
        <v>703</v>
      </c>
      <c r="B87" s="185">
        <v>0</v>
      </c>
      <c r="C87" s="167"/>
      <c r="D87" s="197">
        <v>0</v>
      </c>
      <c r="E87" s="167" t="s">
        <v>855</v>
      </c>
      <c r="F87" s="185">
        <v>0</v>
      </c>
      <c r="G87" s="170" t="s">
        <v>827</v>
      </c>
      <c r="H87" s="185">
        <v>0</v>
      </c>
      <c r="I87" s="185">
        <v>0</v>
      </c>
      <c r="J87" s="185">
        <v>0</v>
      </c>
      <c r="K87" s="170" t="s">
        <v>827</v>
      </c>
      <c r="L87" s="185">
        <v>0</v>
      </c>
      <c r="M87" s="170" t="s">
        <v>827</v>
      </c>
      <c r="N87" s="197">
        <v>0</v>
      </c>
      <c r="O87" s="197">
        <v>0</v>
      </c>
      <c r="P87" s="197">
        <v>0</v>
      </c>
      <c r="Q87" s="197">
        <v>0</v>
      </c>
      <c r="R87" s="170" t="s">
        <v>827</v>
      </c>
      <c r="S87" s="197">
        <v>0</v>
      </c>
      <c r="T87" s="197">
        <v>0</v>
      </c>
      <c r="U87" s="197">
        <v>0</v>
      </c>
      <c r="V87" s="197">
        <v>0</v>
      </c>
      <c r="W87" s="197">
        <v>0</v>
      </c>
      <c r="X87" s="197">
        <v>0</v>
      </c>
      <c r="Y87" s="197">
        <v>0</v>
      </c>
      <c r="Z87" s="197">
        <v>0</v>
      </c>
      <c r="AA87" s="197">
        <v>0</v>
      </c>
      <c r="AB87" s="197">
        <v>0</v>
      </c>
      <c r="AC87" s="197">
        <v>0</v>
      </c>
      <c r="AD87" s="197">
        <v>0</v>
      </c>
      <c r="AE87" s="197">
        <v>0</v>
      </c>
      <c r="AF87" s="197">
        <v>0</v>
      </c>
      <c r="AG87" s="197">
        <v>0</v>
      </c>
      <c r="AH87" s="197">
        <v>0</v>
      </c>
      <c r="AI87" s="197">
        <v>0</v>
      </c>
      <c r="AJ87" s="197">
        <v>0</v>
      </c>
      <c r="AK87" s="197">
        <v>0</v>
      </c>
      <c r="AL87" s="197">
        <v>0</v>
      </c>
      <c r="AM87" s="197">
        <v>0</v>
      </c>
      <c r="AN87" s="197">
        <v>0</v>
      </c>
      <c r="AO87" s="197">
        <v>0</v>
      </c>
      <c r="AP87" s="197">
        <v>0</v>
      </c>
      <c r="AQ87" s="197">
        <v>0</v>
      </c>
      <c r="AR87" s="197">
        <v>0</v>
      </c>
      <c r="AS87" s="197">
        <v>0</v>
      </c>
      <c r="AT87" s="197">
        <v>0</v>
      </c>
      <c r="AU87" s="197">
        <v>0</v>
      </c>
      <c r="AV87" s="197">
        <v>0</v>
      </c>
      <c r="AW87" s="197">
        <v>0</v>
      </c>
      <c r="AX87" s="197">
        <v>0</v>
      </c>
      <c r="AY87" s="197">
        <v>0</v>
      </c>
      <c r="AZ87" s="197">
        <v>0</v>
      </c>
      <c r="BA87" s="197">
        <v>0</v>
      </c>
      <c r="BB87" s="197">
        <v>0</v>
      </c>
      <c r="BC87" s="197">
        <v>0</v>
      </c>
      <c r="BD87" s="197">
        <v>0</v>
      </c>
      <c r="BE87" s="197">
        <v>0</v>
      </c>
      <c r="BF87" s="197">
        <v>0</v>
      </c>
      <c r="BG87" s="197">
        <v>0</v>
      </c>
      <c r="BH87" s="197">
        <v>0</v>
      </c>
      <c r="BI87" s="197">
        <v>0</v>
      </c>
      <c r="BJ87" s="197">
        <v>0</v>
      </c>
      <c r="BK87" s="197">
        <v>0</v>
      </c>
      <c r="BL87" s="197">
        <v>0</v>
      </c>
      <c r="BM87" s="197">
        <v>0</v>
      </c>
      <c r="BN87" s="197">
        <v>0</v>
      </c>
      <c r="BO87" s="197">
        <v>0</v>
      </c>
      <c r="BP87" s="197">
        <v>0</v>
      </c>
      <c r="BQ87" s="197">
        <v>0</v>
      </c>
      <c r="BR87" s="197">
        <v>0</v>
      </c>
      <c r="BS87" s="197">
        <v>0</v>
      </c>
      <c r="BT87" s="197">
        <v>0</v>
      </c>
      <c r="BU87" s="197">
        <v>0</v>
      </c>
      <c r="BV87" s="197">
        <v>0</v>
      </c>
      <c r="BW87" s="197">
        <v>0</v>
      </c>
      <c r="BX87" s="197">
        <v>0</v>
      </c>
      <c r="BY87" s="197">
        <v>0</v>
      </c>
      <c r="BZ87" s="197">
        <v>0</v>
      </c>
      <c r="CA87" s="197">
        <v>0</v>
      </c>
      <c r="CB87" s="197">
        <v>0</v>
      </c>
      <c r="CC87" s="197">
        <v>0</v>
      </c>
      <c r="CD87" s="197">
        <v>0</v>
      </c>
      <c r="CE87" s="197">
        <v>0</v>
      </c>
      <c r="CF87" s="197">
        <v>0</v>
      </c>
      <c r="CG87" s="197">
        <v>0</v>
      </c>
      <c r="CH87" s="197">
        <v>0</v>
      </c>
      <c r="CI87" s="197">
        <v>0</v>
      </c>
      <c r="CJ87" s="197">
        <v>0</v>
      </c>
      <c r="CK87" s="197">
        <v>0</v>
      </c>
      <c r="CL87" s="197">
        <v>0</v>
      </c>
      <c r="CM87" s="197">
        <v>0</v>
      </c>
      <c r="CN87" s="197">
        <v>0</v>
      </c>
      <c r="CO87" s="197">
        <v>0</v>
      </c>
      <c r="CP87" s="197">
        <v>0</v>
      </c>
      <c r="CQ87" s="197">
        <v>0</v>
      </c>
      <c r="CR87" s="197">
        <v>0</v>
      </c>
      <c r="CS87" s="197">
        <v>0</v>
      </c>
      <c r="CT87" s="197">
        <v>0</v>
      </c>
      <c r="CU87" s="197">
        <v>0</v>
      </c>
      <c r="CV87" s="197">
        <v>0</v>
      </c>
      <c r="CW87" s="197">
        <v>0</v>
      </c>
      <c r="CX87" s="197">
        <v>0</v>
      </c>
      <c r="CY87" s="197">
        <v>0</v>
      </c>
      <c r="CZ87" s="197">
        <v>0</v>
      </c>
      <c r="DA87" s="197">
        <v>0</v>
      </c>
      <c r="DB87" s="197">
        <v>0</v>
      </c>
      <c r="DC87" s="197">
        <v>0</v>
      </c>
      <c r="DD87" s="197">
        <v>0</v>
      </c>
      <c r="DE87" s="197">
        <v>0</v>
      </c>
      <c r="DF87" s="230">
        <v>0</v>
      </c>
      <c r="DG87" s="227">
        <f>+AVERAGE(B87:DF89)</f>
        <v>0</v>
      </c>
      <c r="DH87" s="197">
        <v>0</v>
      </c>
      <c r="DI87" s="185">
        <v>0</v>
      </c>
      <c r="DJ87" s="233" t="s">
        <v>827</v>
      </c>
      <c r="DK87" s="185">
        <v>0</v>
      </c>
      <c r="DL87" s="185">
        <v>0</v>
      </c>
      <c r="DM87" s="185">
        <v>0</v>
      </c>
      <c r="DN87" s="185">
        <v>0</v>
      </c>
      <c r="DO87" s="185">
        <v>0</v>
      </c>
      <c r="DP87" s="233" t="s">
        <v>827</v>
      </c>
      <c r="DQ87" s="197">
        <v>0</v>
      </c>
      <c r="DR87" s="197">
        <v>0</v>
      </c>
      <c r="DS87" s="197">
        <v>0</v>
      </c>
      <c r="DT87" s="197">
        <v>0</v>
      </c>
      <c r="DU87" s="233" t="s">
        <v>827</v>
      </c>
      <c r="DV87" s="197">
        <v>0</v>
      </c>
      <c r="DW87" s="197">
        <v>0</v>
      </c>
      <c r="DX87" s="197">
        <v>0</v>
      </c>
      <c r="DY87" s="197">
        <v>0</v>
      </c>
      <c r="DZ87" s="197">
        <v>0</v>
      </c>
      <c r="EA87" s="197">
        <v>0</v>
      </c>
      <c r="EB87" s="197">
        <v>0</v>
      </c>
      <c r="EC87" s="197">
        <v>0</v>
      </c>
      <c r="ED87" s="197">
        <v>0</v>
      </c>
      <c r="EE87" s="197">
        <v>0</v>
      </c>
      <c r="EF87" s="197">
        <v>0</v>
      </c>
      <c r="EG87" s="197">
        <v>0</v>
      </c>
      <c r="EH87" s="197">
        <v>0</v>
      </c>
      <c r="EI87" s="197">
        <v>0</v>
      </c>
      <c r="EJ87" s="197">
        <v>0</v>
      </c>
      <c r="EK87" s="197">
        <v>0</v>
      </c>
      <c r="EL87" s="197">
        <v>0</v>
      </c>
      <c r="EM87" s="197">
        <v>0</v>
      </c>
      <c r="EN87" s="197">
        <v>0</v>
      </c>
      <c r="EO87" s="197">
        <v>0</v>
      </c>
      <c r="EP87" s="197">
        <v>0</v>
      </c>
      <c r="EQ87" s="197">
        <v>0</v>
      </c>
      <c r="ER87" s="197">
        <v>0</v>
      </c>
      <c r="ES87" s="197">
        <v>0</v>
      </c>
      <c r="ET87" s="197">
        <v>0</v>
      </c>
      <c r="EU87" s="197">
        <v>0</v>
      </c>
      <c r="EV87" s="197">
        <v>0</v>
      </c>
      <c r="EW87" s="197">
        <v>0</v>
      </c>
      <c r="EX87" s="197">
        <v>0</v>
      </c>
      <c r="EY87" s="197">
        <v>0</v>
      </c>
      <c r="EZ87" s="197"/>
      <c r="FA87" s="197">
        <v>0</v>
      </c>
      <c r="FB87" s="197">
        <v>0</v>
      </c>
      <c r="FC87" s="197">
        <v>0</v>
      </c>
      <c r="FD87" s="197">
        <v>0</v>
      </c>
      <c r="FE87" s="197">
        <v>0</v>
      </c>
      <c r="FF87" s="197">
        <v>0</v>
      </c>
      <c r="FG87" s="197">
        <v>0</v>
      </c>
      <c r="FH87" s="197">
        <v>0</v>
      </c>
      <c r="FI87" s="197">
        <v>0</v>
      </c>
      <c r="FJ87" s="197">
        <v>0</v>
      </c>
      <c r="FK87" s="197">
        <v>0</v>
      </c>
      <c r="FL87" s="227">
        <f>+AVERAGE(DH87:FK89)</f>
        <v>0</v>
      </c>
      <c r="FM87" s="185">
        <v>0</v>
      </c>
      <c r="FN87" s="185">
        <v>0</v>
      </c>
      <c r="FO87" s="185">
        <v>0</v>
      </c>
      <c r="FP87" s="185">
        <v>0</v>
      </c>
      <c r="FQ87" s="185">
        <v>0</v>
      </c>
      <c r="FR87" s="197">
        <v>0</v>
      </c>
      <c r="FS87" s="197">
        <v>0</v>
      </c>
      <c r="FT87" s="197">
        <v>0</v>
      </c>
      <c r="FU87" s="197">
        <v>0</v>
      </c>
      <c r="FV87" s="197">
        <v>0</v>
      </c>
      <c r="FW87" s="197">
        <v>0</v>
      </c>
      <c r="FX87" s="197">
        <v>0</v>
      </c>
      <c r="FY87" s="197">
        <v>0</v>
      </c>
      <c r="FZ87" s="197">
        <v>0</v>
      </c>
      <c r="GA87" s="197">
        <v>0</v>
      </c>
      <c r="GB87" s="197">
        <v>0</v>
      </c>
      <c r="GC87" s="197">
        <v>0</v>
      </c>
      <c r="GD87" s="197">
        <v>0</v>
      </c>
      <c r="GE87" s="197">
        <v>0</v>
      </c>
      <c r="GF87" s="197">
        <v>0</v>
      </c>
      <c r="GG87" s="197">
        <v>0</v>
      </c>
      <c r="GH87" s="197">
        <v>0</v>
      </c>
      <c r="GI87" s="197">
        <v>0</v>
      </c>
      <c r="GJ87" s="197">
        <v>0</v>
      </c>
      <c r="GK87" s="197">
        <v>0</v>
      </c>
      <c r="GL87" s="197"/>
      <c r="GM87" s="197">
        <v>0</v>
      </c>
      <c r="GN87" s="197">
        <v>0</v>
      </c>
      <c r="GO87" s="197">
        <v>0</v>
      </c>
      <c r="GP87" s="197">
        <v>0</v>
      </c>
      <c r="GQ87" s="197">
        <v>0</v>
      </c>
      <c r="GR87" s="197">
        <v>0</v>
      </c>
      <c r="GS87" s="197">
        <v>0</v>
      </c>
      <c r="GT87" s="197">
        <v>0</v>
      </c>
      <c r="GU87" s="197">
        <v>0</v>
      </c>
      <c r="GV87" s="197">
        <v>0</v>
      </c>
      <c r="GW87" s="197">
        <v>0</v>
      </c>
      <c r="GX87" s="197">
        <v>0</v>
      </c>
      <c r="GY87" s="197">
        <v>0</v>
      </c>
      <c r="GZ87" s="197">
        <v>0</v>
      </c>
      <c r="HA87" s="197">
        <v>0</v>
      </c>
      <c r="HB87" s="227">
        <f t="shared" ref="HB87" si="21">+AVERAGE(FM87:HA89)</f>
        <v>0</v>
      </c>
    </row>
    <row r="88" spans="1:210" ht="15" customHeight="1">
      <c r="A88" s="58"/>
      <c r="B88" s="186"/>
      <c r="C88" s="168"/>
      <c r="D88" s="198"/>
      <c r="E88" s="168"/>
      <c r="F88" s="186"/>
      <c r="G88" s="171"/>
      <c r="H88" s="186"/>
      <c r="I88" s="186"/>
      <c r="J88" s="186"/>
      <c r="K88" s="171"/>
      <c r="L88" s="186"/>
      <c r="M88" s="171"/>
      <c r="N88" s="198"/>
      <c r="O88" s="198"/>
      <c r="P88" s="198"/>
      <c r="Q88" s="198"/>
      <c r="R88" s="171"/>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231"/>
      <c r="DG88" s="228"/>
      <c r="DH88" s="198"/>
      <c r="DI88" s="186"/>
      <c r="DJ88" s="234"/>
      <c r="DK88" s="186"/>
      <c r="DL88" s="186"/>
      <c r="DM88" s="186"/>
      <c r="DN88" s="186"/>
      <c r="DO88" s="186"/>
      <c r="DP88" s="234"/>
      <c r="DQ88" s="198"/>
      <c r="DR88" s="198"/>
      <c r="DS88" s="198"/>
      <c r="DT88" s="198"/>
      <c r="DU88" s="234"/>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228"/>
      <c r="FM88" s="186"/>
      <c r="FN88" s="186"/>
      <c r="FO88" s="186"/>
      <c r="FP88" s="186"/>
      <c r="FQ88" s="186"/>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228"/>
    </row>
    <row r="89" spans="1:210" ht="85" thickBot="1">
      <c r="A89" s="57" t="s">
        <v>702</v>
      </c>
      <c r="B89" s="187"/>
      <c r="C89" s="169"/>
      <c r="D89" s="199"/>
      <c r="E89" s="169"/>
      <c r="F89" s="187"/>
      <c r="G89" s="172"/>
      <c r="H89" s="187"/>
      <c r="I89" s="187"/>
      <c r="J89" s="187"/>
      <c r="K89" s="172"/>
      <c r="L89" s="187"/>
      <c r="M89" s="172"/>
      <c r="N89" s="199"/>
      <c r="O89" s="199"/>
      <c r="P89" s="199"/>
      <c r="Q89" s="199"/>
      <c r="R89" s="172"/>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232"/>
      <c r="DG89" s="229"/>
      <c r="DH89" s="199"/>
      <c r="DI89" s="187"/>
      <c r="DJ89" s="235"/>
      <c r="DK89" s="187"/>
      <c r="DL89" s="187"/>
      <c r="DM89" s="187"/>
      <c r="DN89" s="187"/>
      <c r="DO89" s="187"/>
      <c r="DP89" s="235"/>
      <c r="DQ89" s="199"/>
      <c r="DR89" s="199"/>
      <c r="DS89" s="199"/>
      <c r="DT89" s="199"/>
      <c r="DU89" s="235"/>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229"/>
      <c r="FM89" s="187"/>
      <c r="FN89" s="187"/>
      <c r="FO89" s="187"/>
      <c r="FP89" s="187"/>
      <c r="FQ89" s="187"/>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229"/>
    </row>
    <row r="90" spans="1:210" ht="16" customHeight="1" thickTop="1">
      <c r="A90" s="59" t="s">
        <v>701</v>
      </c>
      <c r="B90" s="185">
        <v>0</v>
      </c>
      <c r="C90" s="167" t="s">
        <v>856</v>
      </c>
      <c r="D90" s="197">
        <v>1</v>
      </c>
      <c r="E90" s="167" t="s">
        <v>857</v>
      </c>
      <c r="F90" s="185">
        <v>1</v>
      </c>
      <c r="G90" s="167"/>
      <c r="H90" s="197">
        <v>1</v>
      </c>
      <c r="I90" s="197">
        <v>0</v>
      </c>
      <c r="J90" s="185">
        <v>1</v>
      </c>
      <c r="K90" s="167"/>
      <c r="L90" s="197">
        <v>1</v>
      </c>
      <c r="M90" s="167"/>
      <c r="N90" s="197">
        <v>0</v>
      </c>
      <c r="O90" s="185">
        <v>1</v>
      </c>
      <c r="P90" s="197">
        <v>1</v>
      </c>
      <c r="Q90" s="197">
        <v>1</v>
      </c>
      <c r="R90" s="170"/>
      <c r="S90" s="197">
        <v>1</v>
      </c>
      <c r="T90" s="197">
        <v>0</v>
      </c>
      <c r="U90" s="197">
        <v>1</v>
      </c>
      <c r="V90" s="197">
        <v>0</v>
      </c>
      <c r="W90" s="197">
        <v>0</v>
      </c>
      <c r="X90" s="197">
        <v>0</v>
      </c>
      <c r="Y90" s="197">
        <v>0</v>
      </c>
      <c r="Z90" s="197">
        <v>1</v>
      </c>
      <c r="AA90" s="197">
        <v>1</v>
      </c>
      <c r="AB90" s="197">
        <v>0</v>
      </c>
      <c r="AC90" s="197">
        <v>0</v>
      </c>
      <c r="AD90" s="197">
        <v>0</v>
      </c>
      <c r="AE90" s="197">
        <v>0</v>
      </c>
      <c r="AF90" s="197">
        <v>0</v>
      </c>
      <c r="AG90" s="197">
        <v>0</v>
      </c>
      <c r="AH90" s="197">
        <v>1</v>
      </c>
      <c r="AI90" s="197">
        <v>1</v>
      </c>
      <c r="AJ90" s="197">
        <v>0</v>
      </c>
      <c r="AK90" s="197">
        <v>1</v>
      </c>
      <c r="AL90" s="197">
        <v>1</v>
      </c>
      <c r="AM90" s="197">
        <v>1</v>
      </c>
      <c r="AN90" s="197">
        <v>0</v>
      </c>
      <c r="AO90" s="197">
        <v>0</v>
      </c>
      <c r="AP90" s="197">
        <v>0</v>
      </c>
      <c r="AQ90" s="197">
        <v>0</v>
      </c>
      <c r="AR90" s="197">
        <v>1</v>
      </c>
      <c r="AS90" s="197">
        <v>1</v>
      </c>
      <c r="AT90" s="197">
        <v>1</v>
      </c>
      <c r="AU90" s="197">
        <v>1</v>
      </c>
      <c r="AV90" s="197">
        <v>1</v>
      </c>
      <c r="AW90" s="197">
        <v>1</v>
      </c>
      <c r="AX90" s="197">
        <v>0</v>
      </c>
      <c r="AY90" s="197">
        <v>0</v>
      </c>
      <c r="AZ90" s="197">
        <v>1</v>
      </c>
      <c r="BA90" s="197">
        <v>1</v>
      </c>
      <c r="BB90" s="197">
        <v>1</v>
      </c>
      <c r="BC90" s="197">
        <v>1</v>
      </c>
      <c r="BD90" s="197">
        <v>0</v>
      </c>
      <c r="BE90" s="197">
        <v>1</v>
      </c>
      <c r="BF90" s="197">
        <v>0</v>
      </c>
      <c r="BG90" s="197">
        <v>1</v>
      </c>
      <c r="BH90" s="197">
        <v>0</v>
      </c>
      <c r="BI90" s="197">
        <v>1</v>
      </c>
      <c r="BJ90" s="197">
        <v>0</v>
      </c>
      <c r="BK90" s="197">
        <v>1</v>
      </c>
      <c r="BL90" s="197">
        <v>1</v>
      </c>
      <c r="BM90" s="197">
        <v>1</v>
      </c>
      <c r="BN90" s="197">
        <v>1</v>
      </c>
      <c r="BO90" s="197">
        <v>1</v>
      </c>
      <c r="BP90" s="197">
        <v>1</v>
      </c>
      <c r="BQ90" s="197">
        <v>0</v>
      </c>
      <c r="BR90" s="197">
        <v>0</v>
      </c>
      <c r="BS90" s="197">
        <v>1</v>
      </c>
      <c r="BT90" s="197">
        <v>0</v>
      </c>
      <c r="BU90" s="197">
        <v>1</v>
      </c>
      <c r="BV90" s="197">
        <v>1</v>
      </c>
      <c r="BW90" s="197">
        <v>1</v>
      </c>
      <c r="BX90" s="197">
        <v>1</v>
      </c>
      <c r="BY90" s="197">
        <v>1</v>
      </c>
      <c r="BZ90" s="197">
        <v>1</v>
      </c>
      <c r="CA90" s="197">
        <v>0</v>
      </c>
      <c r="CB90" s="197">
        <v>0</v>
      </c>
      <c r="CC90" s="197">
        <v>0</v>
      </c>
      <c r="CD90" s="197">
        <v>0</v>
      </c>
      <c r="CE90" s="197">
        <v>0</v>
      </c>
      <c r="CF90" s="197">
        <v>1</v>
      </c>
      <c r="CG90" s="197">
        <v>1</v>
      </c>
      <c r="CH90" s="197">
        <v>0</v>
      </c>
      <c r="CI90" s="197">
        <v>1</v>
      </c>
      <c r="CJ90" s="197">
        <v>1</v>
      </c>
      <c r="CK90" s="197">
        <v>1</v>
      </c>
      <c r="CL90" s="197">
        <v>1</v>
      </c>
      <c r="CM90" s="197">
        <v>0</v>
      </c>
      <c r="CN90" s="197">
        <v>1</v>
      </c>
      <c r="CO90" s="197">
        <v>1</v>
      </c>
      <c r="CP90" s="197">
        <v>1</v>
      </c>
      <c r="CQ90" s="197">
        <v>1</v>
      </c>
      <c r="CR90" s="197">
        <v>0</v>
      </c>
      <c r="CS90" s="197">
        <v>1</v>
      </c>
      <c r="CT90" s="197">
        <v>1</v>
      </c>
      <c r="CU90" s="197">
        <v>1</v>
      </c>
      <c r="CV90" s="197">
        <v>1</v>
      </c>
      <c r="CW90" s="197">
        <v>1</v>
      </c>
      <c r="CX90" s="197">
        <v>1</v>
      </c>
      <c r="CY90" s="197">
        <v>1</v>
      </c>
      <c r="CZ90" s="197">
        <v>1</v>
      </c>
      <c r="DA90" s="197">
        <v>1</v>
      </c>
      <c r="DB90" s="197">
        <v>0</v>
      </c>
      <c r="DC90" s="197">
        <v>1</v>
      </c>
      <c r="DD90" s="197">
        <v>1</v>
      </c>
      <c r="DE90" s="197">
        <v>0</v>
      </c>
      <c r="DF90" s="230">
        <v>0</v>
      </c>
      <c r="DG90" s="227">
        <f>+AVERAGE(B90:DF92)</f>
        <v>0.62135922330097082</v>
      </c>
      <c r="DH90" s="197">
        <v>1</v>
      </c>
      <c r="DI90" s="185">
        <v>1</v>
      </c>
      <c r="DJ90" s="203"/>
      <c r="DK90" s="197">
        <v>1</v>
      </c>
      <c r="DL90" s="197">
        <v>0</v>
      </c>
      <c r="DM90" s="185">
        <v>1</v>
      </c>
      <c r="DN90" s="197">
        <v>0</v>
      </c>
      <c r="DO90" s="185">
        <v>1</v>
      </c>
      <c r="DP90" s="203"/>
      <c r="DQ90" s="197">
        <v>0</v>
      </c>
      <c r="DR90" s="185">
        <v>1</v>
      </c>
      <c r="DS90" s="197">
        <v>1</v>
      </c>
      <c r="DT90" s="197">
        <v>1</v>
      </c>
      <c r="DU90" s="233"/>
      <c r="DV90" s="197">
        <v>1</v>
      </c>
      <c r="DW90" s="197">
        <v>0</v>
      </c>
      <c r="DX90" s="197">
        <v>0</v>
      </c>
      <c r="DY90" s="197">
        <v>0</v>
      </c>
      <c r="DZ90" s="197">
        <v>0</v>
      </c>
      <c r="EA90" s="197">
        <v>0</v>
      </c>
      <c r="EB90" s="197">
        <v>0</v>
      </c>
      <c r="EC90" s="197">
        <v>1</v>
      </c>
      <c r="ED90" s="197">
        <v>1</v>
      </c>
      <c r="EE90" s="197">
        <v>0</v>
      </c>
      <c r="EF90" s="197">
        <v>0</v>
      </c>
      <c r="EG90" s="197">
        <v>0</v>
      </c>
      <c r="EH90" s="197">
        <v>1</v>
      </c>
      <c r="EI90" s="197">
        <v>1</v>
      </c>
      <c r="EJ90" s="197">
        <v>0</v>
      </c>
      <c r="EK90" s="197">
        <v>1</v>
      </c>
      <c r="EL90" s="197">
        <v>1</v>
      </c>
      <c r="EM90" s="197">
        <v>1</v>
      </c>
      <c r="EN90" s="197">
        <v>0</v>
      </c>
      <c r="EO90" s="197">
        <v>0</v>
      </c>
      <c r="EP90" s="197">
        <v>1</v>
      </c>
      <c r="EQ90" s="197">
        <v>1</v>
      </c>
      <c r="ER90" s="197">
        <v>1</v>
      </c>
      <c r="ES90" s="197">
        <v>0</v>
      </c>
      <c r="ET90" s="197">
        <v>0</v>
      </c>
      <c r="EU90" s="197">
        <v>0</v>
      </c>
      <c r="EV90" s="197">
        <v>0</v>
      </c>
      <c r="EW90" s="197">
        <v>1</v>
      </c>
      <c r="EX90" s="197">
        <v>1</v>
      </c>
      <c r="EY90" s="197">
        <v>1</v>
      </c>
      <c r="EZ90" s="197">
        <v>0</v>
      </c>
      <c r="FA90" s="197">
        <v>0</v>
      </c>
      <c r="FB90" s="197">
        <v>1</v>
      </c>
      <c r="FC90" s="197">
        <v>1</v>
      </c>
      <c r="FD90" s="197">
        <v>0</v>
      </c>
      <c r="FE90" s="197">
        <v>1</v>
      </c>
      <c r="FF90" s="197">
        <v>1</v>
      </c>
      <c r="FG90" s="197">
        <v>1</v>
      </c>
      <c r="FH90" s="197">
        <v>1</v>
      </c>
      <c r="FI90" s="197">
        <v>1</v>
      </c>
      <c r="FJ90" s="197">
        <v>1</v>
      </c>
      <c r="FK90" s="197">
        <v>0</v>
      </c>
      <c r="FL90" s="227">
        <f>+AVERAGE(DH90:FK92)</f>
        <v>0.56603773584905659</v>
      </c>
      <c r="FM90" s="185">
        <v>1</v>
      </c>
      <c r="FN90" s="197">
        <v>1</v>
      </c>
      <c r="FO90" s="197">
        <v>0</v>
      </c>
      <c r="FP90" s="197">
        <v>0</v>
      </c>
      <c r="FQ90" s="185">
        <v>1</v>
      </c>
      <c r="FR90" s="197">
        <v>1</v>
      </c>
      <c r="FS90" s="197">
        <v>0</v>
      </c>
      <c r="FT90" s="197">
        <v>1</v>
      </c>
      <c r="FU90" s="197">
        <v>0</v>
      </c>
      <c r="FV90" s="197">
        <v>1</v>
      </c>
      <c r="FW90" s="197">
        <v>0</v>
      </c>
      <c r="FX90" s="197">
        <v>0</v>
      </c>
      <c r="FY90" s="197">
        <v>1</v>
      </c>
      <c r="FZ90" s="197">
        <v>0</v>
      </c>
      <c r="GA90" s="197">
        <v>0</v>
      </c>
      <c r="GB90" s="197">
        <v>1</v>
      </c>
      <c r="GC90" s="197">
        <v>0</v>
      </c>
      <c r="GD90" s="197">
        <v>1</v>
      </c>
      <c r="GE90" s="197">
        <v>1</v>
      </c>
      <c r="GF90" s="197">
        <v>1</v>
      </c>
      <c r="GG90" s="197">
        <v>0</v>
      </c>
      <c r="GH90" s="197">
        <v>1</v>
      </c>
      <c r="GI90" s="197">
        <v>1</v>
      </c>
      <c r="GJ90" s="197">
        <v>1</v>
      </c>
      <c r="GK90" s="197">
        <v>1</v>
      </c>
      <c r="GL90" s="197">
        <v>1</v>
      </c>
      <c r="GM90" s="197">
        <v>0</v>
      </c>
      <c r="GN90" s="197">
        <v>0</v>
      </c>
      <c r="GO90" s="197">
        <v>0</v>
      </c>
      <c r="GP90" s="197">
        <v>1</v>
      </c>
      <c r="GQ90" s="197">
        <v>1</v>
      </c>
      <c r="GR90" s="197">
        <v>1</v>
      </c>
      <c r="GS90" s="197">
        <v>1</v>
      </c>
      <c r="GT90" s="197">
        <v>1</v>
      </c>
      <c r="GU90" s="197">
        <v>0</v>
      </c>
      <c r="GV90" s="197">
        <v>1</v>
      </c>
      <c r="GW90" s="197">
        <v>1</v>
      </c>
      <c r="GX90" s="197">
        <v>1</v>
      </c>
      <c r="GY90" s="197">
        <v>1</v>
      </c>
      <c r="GZ90" s="197">
        <v>0</v>
      </c>
      <c r="HA90" s="197">
        <v>1</v>
      </c>
      <c r="HB90" s="227">
        <f>+AVERAGE(FM90:HA92)</f>
        <v>0.63414634146341464</v>
      </c>
    </row>
    <row r="91" spans="1:210" ht="15" customHeight="1">
      <c r="A91" s="58"/>
      <c r="B91" s="186"/>
      <c r="C91" s="168"/>
      <c r="D91" s="198"/>
      <c r="E91" s="168"/>
      <c r="F91" s="186"/>
      <c r="G91" s="168"/>
      <c r="H91" s="198"/>
      <c r="I91" s="198"/>
      <c r="J91" s="186"/>
      <c r="K91" s="168"/>
      <c r="L91" s="198"/>
      <c r="M91" s="168"/>
      <c r="N91" s="198"/>
      <c r="O91" s="186"/>
      <c r="P91" s="198"/>
      <c r="Q91" s="198"/>
      <c r="R91" s="171"/>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231"/>
      <c r="DG91" s="228"/>
      <c r="DH91" s="198"/>
      <c r="DI91" s="186"/>
      <c r="DJ91" s="204"/>
      <c r="DK91" s="198"/>
      <c r="DL91" s="198"/>
      <c r="DM91" s="186"/>
      <c r="DN91" s="198"/>
      <c r="DO91" s="186"/>
      <c r="DP91" s="204"/>
      <c r="DQ91" s="198"/>
      <c r="DR91" s="186"/>
      <c r="DS91" s="198"/>
      <c r="DT91" s="198"/>
      <c r="DU91" s="234"/>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228"/>
      <c r="FM91" s="186"/>
      <c r="FN91" s="198"/>
      <c r="FO91" s="198"/>
      <c r="FP91" s="198"/>
      <c r="FQ91" s="186"/>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228"/>
    </row>
    <row r="92" spans="1:210" ht="99" thickBot="1">
      <c r="A92" s="57" t="s">
        <v>700</v>
      </c>
      <c r="B92" s="187"/>
      <c r="C92" s="169"/>
      <c r="D92" s="199"/>
      <c r="E92" s="169"/>
      <c r="F92" s="187"/>
      <c r="G92" s="169"/>
      <c r="H92" s="199"/>
      <c r="I92" s="199"/>
      <c r="J92" s="187"/>
      <c r="K92" s="169"/>
      <c r="L92" s="199"/>
      <c r="M92" s="169"/>
      <c r="N92" s="199"/>
      <c r="O92" s="187"/>
      <c r="P92" s="199"/>
      <c r="Q92" s="199"/>
      <c r="R92" s="172"/>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232"/>
      <c r="DG92" s="229"/>
      <c r="DH92" s="199"/>
      <c r="DI92" s="187"/>
      <c r="DJ92" s="205"/>
      <c r="DK92" s="199"/>
      <c r="DL92" s="199"/>
      <c r="DM92" s="187"/>
      <c r="DN92" s="199"/>
      <c r="DO92" s="187"/>
      <c r="DP92" s="205"/>
      <c r="DQ92" s="199"/>
      <c r="DR92" s="187"/>
      <c r="DS92" s="199"/>
      <c r="DT92" s="199"/>
      <c r="DU92" s="235"/>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229"/>
      <c r="FM92" s="187"/>
      <c r="FN92" s="199"/>
      <c r="FO92" s="199"/>
      <c r="FP92" s="199"/>
      <c r="FQ92" s="187"/>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229"/>
    </row>
    <row r="93" spans="1:210" ht="22" thickTop="1" thickBot="1">
      <c r="A93" s="80" t="s">
        <v>699</v>
      </c>
      <c r="B93" s="81"/>
      <c r="C93" s="76"/>
      <c r="D93" s="76"/>
      <c r="E93" s="76"/>
      <c r="F93" s="96"/>
      <c r="G93" s="97"/>
      <c r="H93" s="89"/>
      <c r="I93" s="89"/>
      <c r="J93" s="96"/>
      <c r="K93" s="97"/>
      <c r="L93" s="89"/>
      <c r="M93" s="97"/>
      <c r="N93" s="89"/>
      <c r="O93" s="96"/>
      <c r="P93" s="76"/>
      <c r="Q93" s="76"/>
      <c r="R93" s="76"/>
      <c r="S93" s="89"/>
      <c r="T93" s="89"/>
      <c r="U93" s="99"/>
      <c r="V93" s="89"/>
      <c r="W93" s="89"/>
      <c r="X93" s="89"/>
      <c r="Y93" s="99"/>
      <c r="Z93" s="89"/>
      <c r="AA93" s="89"/>
      <c r="AB93" s="89"/>
      <c r="AC93" s="89"/>
      <c r="AD93" s="89"/>
      <c r="AE93" s="89"/>
      <c r="AF93" s="89"/>
      <c r="AG93" s="89"/>
      <c r="AH93" s="89"/>
      <c r="AI93" s="89"/>
      <c r="AJ93" s="99"/>
      <c r="AK93" s="89"/>
      <c r="AL93" s="89"/>
      <c r="AM93" s="99"/>
      <c r="AN93" s="89"/>
      <c r="AO93" s="89"/>
      <c r="AP93" s="89"/>
      <c r="AQ93" s="89"/>
      <c r="AR93" s="99"/>
      <c r="AS93" s="89"/>
      <c r="AT93" s="89"/>
      <c r="AU93" s="89"/>
      <c r="AV93" s="89"/>
      <c r="AW93" s="89"/>
      <c r="AX93" s="89"/>
      <c r="AY93" s="99"/>
      <c r="AZ93" s="89"/>
      <c r="BA93" s="89"/>
      <c r="BB93" s="89"/>
      <c r="BC93" s="89"/>
      <c r="BD93" s="89"/>
      <c r="BE93" s="89"/>
      <c r="BF93" s="89"/>
      <c r="BG93" s="89"/>
      <c r="BH93" s="89"/>
      <c r="BI93" s="99"/>
      <c r="BJ93" s="89"/>
      <c r="BK93" s="89"/>
      <c r="BL93" s="89"/>
      <c r="BM93" s="89"/>
      <c r="BN93" s="89"/>
      <c r="BO93" s="89"/>
      <c r="BP93" s="89"/>
      <c r="BQ93" s="89"/>
      <c r="BR93" s="99"/>
      <c r="BS93" s="99"/>
      <c r="BT93" s="89"/>
      <c r="BU93" s="89"/>
      <c r="BV93" s="89"/>
      <c r="BW93" s="89"/>
      <c r="BX93" s="99"/>
      <c r="BY93" s="89"/>
      <c r="BZ93" s="89"/>
      <c r="CA93" s="89"/>
      <c r="CB93" s="99"/>
      <c r="CC93" s="89"/>
      <c r="CD93" s="89"/>
      <c r="CE93" s="89"/>
      <c r="CF93" s="89"/>
      <c r="CG93" s="99"/>
      <c r="CH93" s="89"/>
      <c r="CI93" s="89"/>
      <c r="CJ93" s="89"/>
      <c r="CK93" s="89"/>
      <c r="CL93" s="89"/>
      <c r="CM93" s="89"/>
      <c r="CN93" s="89"/>
      <c r="CO93" s="89"/>
      <c r="CP93" s="89"/>
      <c r="CQ93" s="89"/>
      <c r="CR93" s="99"/>
      <c r="CS93" s="89"/>
      <c r="CT93" s="89"/>
      <c r="CU93" s="89"/>
      <c r="CV93" s="89"/>
      <c r="CW93" s="99"/>
      <c r="CX93" s="99"/>
      <c r="CY93" s="89"/>
      <c r="CZ93" s="89"/>
      <c r="DA93" s="89"/>
      <c r="DB93" s="89"/>
      <c r="DC93" s="89"/>
      <c r="DD93" s="89"/>
      <c r="DE93" s="89"/>
      <c r="DF93" s="89"/>
      <c r="DG93" s="105">
        <f>+AVERAGE(DG94:DG101)</f>
        <v>0.89865103015155878</v>
      </c>
      <c r="DH93" s="89"/>
      <c r="DI93" s="96"/>
      <c r="DJ93" s="112"/>
      <c r="DK93" s="89"/>
      <c r="DL93" s="89"/>
      <c r="DM93" s="96"/>
      <c r="DN93" s="89"/>
      <c r="DO93" s="96"/>
      <c r="DP93" s="112"/>
      <c r="DQ93" s="89"/>
      <c r="DR93" s="96"/>
      <c r="DS93" s="76"/>
      <c r="DT93" s="89"/>
      <c r="DU93" s="89"/>
      <c r="DV93" s="99"/>
      <c r="DW93" s="89"/>
      <c r="DX93" s="89"/>
      <c r="DY93" s="99"/>
      <c r="DZ93" s="89"/>
      <c r="EA93" s="99"/>
      <c r="EB93" s="99"/>
      <c r="EC93" s="89"/>
      <c r="ED93" s="99"/>
      <c r="EE93" s="89"/>
      <c r="EF93" s="89"/>
      <c r="EG93" s="89"/>
      <c r="EH93" s="89"/>
      <c r="EI93" s="89"/>
      <c r="EJ93" s="89"/>
      <c r="EK93" s="89"/>
      <c r="EL93" s="89"/>
      <c r="EM93" s="89"/>
      <c r="EN93" s="89"/>
      <c r="EO93" s="89"/>
      <c r="EP93" s="89"/>
      <c r="EQ93" s="89"/>
      <c r="ER93" s="89"/>
      <c r="ES93" s="89"/>
      <c r="ET93" s="89"/>
      <c r="EU93" s="89"/>
      <c r="EV93" s="89"/>
      <c r="EW93" s="89"/>
      <c r="EX93" s="99"/>
      <c r="EY93" s="89"/>
      <c r="EZ93" s="99"/>
      <c r="FA93" s="89"/>
      <c r="FB93" s="89"/>
      <c r="FC93" s="89"/>
      <c r="FD93" s="99"/>
      <c r="FE93" s="89"/>
      <c r="FF93" s="89"/>
      <c r="FG93" s="89"/>
      <c r="FH93" s="89"/>
      <c r="FI93" s="89"/>
      <c r="FJ93" s="89"/>
      <c r="FK93" s="89"/>
      <c r="FL93" s="105">
        <f>+AVERAGE(FL94:FL101)</f>
        <v>0.92343976777939041</v>
      </c>
      <c r="FM93" s="96"/>
      <c r="FN93" s="89"/>
      <c r="FO93" s="89"/>
      <c r="FP93" s="89"/>
      <c r="FQ93" s="96"/>
      <c r="FR93" s="89"/>
      <c r="FS93" s="89"/>
      <c r="FT93" s="99"/>
      <c r="FU93" s="99"/>
      <c r="FV93" s="89"/>
      <c r="FW93" s="89"/>
      <c r="FX93" s="99"/>
      <c r="FY93" s="99"/>
      <c r="FZ93" s="89"/>
      <c r="GA93" s="89"/>
      <c r="GB93" s="99"/>
      <c r="GC93" s="89"/>
      <c r="GD93" s="89"/>
      <c r="GE93" s="89"/>
      <c r="GF93" s="89"/>
      <c r="GG93" s="89"/>
      <c r="GH93" s="89"/>
      <c r="GI93" s="89"/>
      <c r="GJ93" s="89"/>
      <c r="GK93" s="89"/>
      <c r="GL93" s="89"/>
      <c r="GM93" s="89"/>
      <c r="GN93" s="89"/>
      <c r="GO93" s="89"/>
      <c r="GP93" s="89"/>
      <c r="GQ93" s="99"/>
      <c r="GR93" s="89"/>
      <c r="GS93" s="89"/>
      <c r="GT93" s="89"/>
      <c r="GU93" s="99"/>
      <c r="GV93" s="89"/>
      <c r="GW93" s="99"/>
      <c r="GX93" s="89"/>
      <c r="GY93" s="89"/>
      <c r="GZ93" s="89"/>
      <c r="HA93" s="89"/>
      <c r="HB93" s="105">
        <f>+AVERAGE(HB94:HB101)</f>
        <v>0.92662601626016261</v>
      </c>
    </row>
    <row r="94" spans="1:210" ht="16" customHeight="1" thickTop="1">
      <c r="A94" s="59" t="s">
        <v>698</v>
      </c>
      <c r="B94" s="185">
        <v>0</v>
      </c>
      <c r="C94" s="173" t="s">
        <v>858</v>
      </c>
      <c r="D94" s="197">
        <v>0</v>
      </c>
      <c r="E94" s="173" t="s">
        <v>859</v>
      </c>
      <c r="F94" s="185">
        <v>1</v>
      </c>
      <c r="G94" s="173" t="s">
        <v>872</v>
      </c>
      <c r="H94" s="197">
        <v>1</v>
      </c>
      <c r="I94" s="197">
        <v>1</v>
      </c>
      <c r="J94" s="185">
        <v>1</v>
      </c>
      <c r="K94" s="173" t="s">
        <v>879</v>
      </c>
      <c r="L94" s="197">
        <v>1</v>
      </c>
      <c r="M94" s="173" t="s">
        <v>888</v>
      </c>
      <c r="N94" s="197">
        <v>1</v>
      </c>
      <c r="O94" s="185">
        <v>1</v>
      </c>
      <c r="P94" s="200">
        <v>1</v>
      </c>
      <c r="Q94" s="200">
        <v>0</v>
      </c>
      <c r="R94" s="170" t="s">
        <v>828</v>
      </c>
      <c r="S94" s="200">
        <v>1</v>
      </c>
      <c r="T94" s="200">
        <v>1</v>
      </c>
      <c r="U94" s="200">
        <v>1</v>
      </c>
      <c r="V94" s="200">
        <v>1</v>
      </c>
      <c r="W94" s="200">
        <v>0</v>
      </c>
      <c r="X94" s="200">
        <v>1</v>
      </c>
      <c r="Y94" s="200">
        <v>1</v>
      </c>
      <c r="Z94" s="200">
        <v>1</v>
      </c>
      <c r="AA94" s="200">
        <v>1</v>
      </c>
      <c r="AB94" s="200">
        <v>1</v>
      </c>
      <c r="AC94" s="200">
        <v>1</v>
      </c>
      <c r="AD94" s="200">
        <v>1</v>
      </c>
      <c r="AE94" s="200">
        <v>0</v>
      </c>
      <c r="AF94" s="200">
        <v>0</v>
      </c>
      <c r="AG94" s="200">
        <v>0</v>
      </c>
      <c r="AH94" s="200">
        <v>1</v>
      </c>
      <c r="AI94" s="200">
        <v>1</v>
      </c>
      <c r="AJ94" s="200">
        <v>1</v>
      </c>
      <c r="AK94" s="200"/>
      <c r="AL94" s="200">
        <v>1</v>
      </c>
      <c r="AM94" s="200">
        <v>0</v>
      </c>
      <c r="AN94" s="200">
        <v>1</v>
      </c>
      <c r="AO94" s="200">
        <v>1</v>
      </c>
      <c r="AP94" s="200">
        <v>1</v>
      </c>
      <c r="AQ94" s="200">
        <v>1</v>
      </c>
      <c r="AR94" s="200">
        <v>1</v>
      </c>
      <c r="AS94" s="200">
        <v>1</v>
      </c>
      <c r="AT94" s="200">
        <v>1</v>
      </c>
      <c r="AU94" s="200">
        <v>1</v>
      </c>
      <c r="AV94" s="200">
        <v>1</v>
      </c>
      <c r="AW94" s="200">
        <v>1</v>
      </c>
      <c r="AX94" s="200">
        <v>1</v>
      </c>
      <c r="AY94" s="200">
        <v>1</v>
      </c>
      <c r="AZ94" s="200">
        <v>1</v>
      </c>
      <c r="BA94" s="200">
        <v>1</v>
      </c>
      <c r="BB94" s="200">
        <v>1</v>
      </c>
      <c r="BC94" s="200">
        <v>1</v>
      </c>
      <c r="BD94" s="200">
        <v>1</v>
      </c>
      <c r="BE94" s="200">
        <v>1</v>
      </c>
      <c r="BF94" s="200">
        <v>1</v>
      </c>
      <c r="BG94" s="200">
        <v>0</v>
      </c>
      <c r="BH94" s="200">
        <v>1</v>
      </c>
      <c r="BI94" s="200">
        <v>0</v>
      </c>
      <c r="BJ94" s="200">
        <v>0</v>
      </c>
      <c r="BK94" s="200">
        <v>0</v>
      </c>
      <c r="BL94" s="200">
        <v>1</v>
      </c>
      <c r="BM94" s="200">
        <v>1</v>
      </c>
      <c r="BN94" s="200">
        <v>1</v>
      </c>
      <c r="BO94" s="200">
        <v>1</v>
      </c>
      <c r="BP94" s="200">
        <v>1</v>
      </c>
      <c r="BQ94" s="200">
        <v>0</v>
      </c>
      <c r="BR94" s="200">
        <v>1</v>
      </c>
      <c r="BS94" s="200">
        <v>1</v>
      </c>
      <c r="BT94" s="200">
        <v>0</v>
      </c>
      <c r="BU94" s="200">
        <v>1</v>
      </c>
      <c r="BV94" s="200">
        <v>1</v>
      </c>
      <c r="BW94" s="200">
        <v>1</v>
      </c>
      <c r="BX94" s="200">
        <v>1</v>
      </c>
      <c r="BY94" s="200">
        <v>1</v>
      </c>
      <c r="BZ94" s="200">
        <v>1</v>
      </c>
      <c r="CA94" s="200">
        <v>1</v>
      </c>
      <c r="CB94" s="200">
        <v>1</v>
      </c>
      <c r="CC94" s="200">
        <v>1</v>
      </c>
      <c r="CD94" s="200">
        <v>1</v>
      </c>
      <c r="CE94" s="200">
        <v>1</v>
      </c>
      <c r="CF94" s="200">
        <v>1</v>
      </c>
      <c r="CG94" s="200">
        <v>1</v>
      </c>
      <c r="CH94" s="200">
        <v>1</v>
      </c>
      <c r="CI94" s="200">
        <v>1</v>
      </c>
      <c r="CJ94" s="200">
        <v>1</v>
      </c>
      <c r="CK94" s="200">
        <v>1</v>
      </c>
      <c r="CL94" s="200">
        <v>1</v>
      </c>
      <c r="CM94" s="200">
        <v>1</v>
      </c>
      <c r="CN94" s="200">
        <v>1</v>
      </c>
      <c r="CO94" s="200">
        <v>1</v>
      </c>
      <c r="CP94" s="200">
        <v>1</v>
      </c>
      <c r="CQ94" s="200">
        <v>1</v>
      </c>
      <c r="CR94" s="200">
        <v>1</v>
      </c>
      <c r="CS94" s="200">
        <v>1</v>
      </c>
      <c r="CT94" s="200">
        <v>1</v>
      </c>
      <c r="CU94" s="200">
        <v>1</v>
      </c>
      <c r="CV94" s="200">
        <v>0</v>
      </c>
      <c r="CW94" s="200">
        <v>1</v>
      </c>
      <c r="CX94" s="200">
        <v>1</v>
      </c>
      <c r="CY94" s="200">
        <v>1</v>
      </c>
      <c r="CZ94" s="200">
        <v>1</v>
      </c>
      <c r="DA94" s="200">
        <v>1</v>
      </c>
      <c r="DB94" s="200">
        <v>0</v>
      </c>
      <c r="DC94" s="200">
        <v>1</v>
      </c>
      <c r="DD94" s="200">
        <v>1</v>
      </c>
      <c r="DE94" s="200"/>
      <c r="DF94" s="224">
        <v>1</v>
      </c>
      <c r="DG94" s="227">
        <f>+AVERAGE(B94:DF96)</f>
        <v>0.84158415841584155</v>
      </c>
      <c r="DH94" s="197">
        <v>0</v>
      </c>
      <c r="DI94" s="185">
        <v>1</v>
      </c>
      <c r="DJ94" s="203" t="s">
        <v>872</v>
      </c>
      <c r="DK94" s="197">
        <v>1</v>
      </c>
      <c r="DL94" s="197">
        <v>1</v>
      </c>
      <c r="DM94" s="185">
        <v>0</v>
      </c>
      <c r="DN94" s="197">
        <v>0</v>
      </c>
      <c r="DO94" s="185">
        <v>1</v>
      </c>
      <c r="DP94" s="203" t="s">
        <v>879</v>
      </c>
      <c r="DQ94" s="197">
        <v>1</v>
      </c>
      <c r="DR94" s="185">
        <v>1</v>
      </c>
      <c r="DS94" s="200">
        <v>1</v>
      </c>
      <c r="DT94" s="200">
        <v>0</v>
      </c>
      <c r="DU94" s="233" t="s">
        <v>828</v>
      </c>
      <c r="DV94" s="200">
        <v>1</v>
      </c>
      <c r="DW94" s="200">
        <v>1</v>
      </c>
      <c r="DX94" s="200">
        <v>1</v>
      </c>
      <c r="DY94" s="200">
        <v>1</v>
      </c>
      <c r="DZ94" s="200">
        <v>1</v>
      </c>
      <c r="EA94" s="200">
        <v>1</v>
      </c>
      <c r="EB94" s="200">
        <v>1</v>
      </c>
      <c r="EC94" s="200"/>
      <c r="ED94" s="200">
        <v>0</v>
      </c>
      <c r="EE94" s="200">
        <v>1</v>
      </c>
      <c r="EF94" s="200">
        <v>1</v>
      </c>
      <c r="EG94" s="200">
        <v>1</v>
      </c>
      <c r="EH94" s="200">
        <v>1</v>
      </c>
      <c r="EI94" s="200">
        <v>1</v>
      </c>
      <c r="EJ94" s="200">
        <v>1</v>
      </c>
      <c r="EK94" s="200">
        <v>1</v>
      </c>
      <c r="EL94" s="200">
        <v>1</v>
      </c>
      <c r="EM94" s="200">
        <v>1</v>
      </c>
      <c r="EN94" s="200">
        <v>1</v>
      </c>
      <c r="EO94" s="200">
        <v>1</v>
      </c>
      <c r="EP94" s="200">
        <v>1</v>
      </c>
      <c r="EQ94" s="200">
        <v>1</v>
      </c>
      <c r="ER94" s="200">
        <v>1</v>
      </c>
      <c r="ES94" s="200">
        <v>1</v>
      </c>
      <c r="ET94" s="200">
        <v>1</v>
      </c>
      <c r="EU94" s="200">
        <v>1</v>
      </c>
      <c r="EV94" s="200">
        <v>1</v>
      </c>
      <c r="EW94" s="200">
        <v>1</v>
      </c>
      <c r="EX94" s="200">
        <v>1</v>
      </c>
      <c r="EY94" s="200">
        <v>1</v>
      </c>
      <c r="EZ94" s="200">
        <v>1</v>
      </c>
      <c r="FA94" s="200">
        <v>1</v>
      </c>
      <c r="FB94" s="200">
        <v>1</v>
      </c>
      <c r="FC94" s="200">
        <v>1</v>
      </c>
      <c r="FD94" s="200">
        <v>1</v>
      </c>
      <c r="FE94" s="200">
        <v>1</v>
      </c>
      <c r="FF94" s="200">
        <v>1</v>
      </c>
      <c r="FG94" s="200">
        <v>1</v>
      </c>
      <c r="FH94" s="200">
        <v>1</v>
      </c>
      <c r="FI94" s="200">
        <v>0</v>
      </c>
      <c r="FJ94" s="200">
        <v>1</v>
      </c>
      <c r="FK94" s="200">
        <v>1</v>
      </c>
      <c r="FL94" s="249">
        <f>+AVERAGE(DH94:FK96)</f>
        <v>0.88461538461538458</v>
      </c>
      <c r="FM94" s="185">
        <v>1</v>
      </c>
      <c r="FN94" s="197">
        <v>1</v>
      </c>
      <c r="FO94" s="197">
        <v>1</v>
      </c>
      <c r="FP94" s="197">
        <v>0</v>
      </c>
      <c r="FQ94" s="185">
        <v>1</v>
      </c>
      <c r="FR94" s="200">
        <v>1</v>
      </c>
      <c r="FS94" s="200">
        <v>1</v>
      </c>
      <c r="FT94" s="200">
        <v>1</v>
      </c>
      <c r="FU94" s="200">
        <v>1</v>
      </c>
      <c r="FV94" s="200">
        <v>1</v>
      </c>
      <c r="FW94" s="200">
        <v>1</v>
      </c>
      <c r="FX94" s="200">
        <v>1</v>
      </c>
      <c r="FY94" s="200">
        <v>0</v>
      </c>
      <c r="FZ94" s="200">
        <v>1</v>
      </c>
      <c r="GA94" s="200">
        <v>1</v>
      </c>
      <c r="GB94" s="200">
        <v>1</v>
      </c>
      <c r="GC94" s="200">
        <v>1</v>
      </c>
      <c r="GD94" s="200">
        <v>1</v>
      </c>
      <c r="GE94" s="200">
        <v>1</v>
      </c>
      <c r="GF94" s="200">
        <v>1</v>
      </c>
      <c r="GG94" s="200">
        <v>0</v>
      </c>
      <c r="GH94" s="200">
        <v>1</v>
      </c>
      <c r="GI94" s="200">
        <v>1</v>
      </c>
      <c r="GJ94" s="200">
        <v>1</v>
      </c>
      <c r="GK94" s="200">
        <v>1</v>
      </c>
      <c r="GL94" s="200">
        <v>1</v>
      </c>
      <c r="GM94" s="200">
        <v>1</v>
      </c>
      <c r="GN94" s="200">
        <v>1</v>
      </c>
      <c r="GO94" s="200">
        <v>1</v>
      </c>
      <c r="GP94" s="200">
        <v>1</v>
      </c>
      <c r="GQ94" s="200">
        <v>1</v>
      </c>
      <c r="GR94" s="200">
        <v>1</v>
      </c>
      <c r="GS94" s="200">
        <v>1</v>
      </c>
      <c r="GT94" s="200">
        <v>1</v>
      </c>
      <c r="GU94" s="200">
        <v>1</v>
      </c>
      <c r="GV94" s="200">
        <v>1</v>
      </c>
      <c r="GW94" s="200">
        <v>1</v>
      </c>
      <c r="GX94" s="200">
        <v>1</v>
      </c>
      <c r="GY94" s="200">
        <v>1</v>
      </c>
      <c r="GZ94" s="200">
        <v>0</v>
      </c>
      <c r="HA94" s="200">
        <v>1</v>
      </c>
      <c r="HB94" s="249">
        <f>+AVERAGE(FM94:HA96)</f>
        <v>0.90243902439024393</v>
      </c>
    </row>
    <row r="95" spans="1:210" ht="15" customHeight="1">
      <c r="A95" s="60" t="s">
        <v>25</v>
      </c>
      <c r="B95" s="186"/>
      <c r="C95" s="174"/>
      <c r="D95" s="198"/>
      <c r="E95" s="174"/>
      <c r="F95" s="186"/>
      <c r="G95" s="174"/>
      <c r="H95" s="198"/>
      <c r="I95" s="198"/>
      <c r="J95" s="186"/>
      <c r="K95" s="174"/>
      <c r="L95" s="198"/>
      <c r="M95" s="174"/>
      <c r="N95" s="198"/>
      <c r="O95" s="186"/>
      <c r="P95" s="201"/>
      <c r="Q95" s="201"/>
      <c r="R95" s="17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c r="BV95" s="201"/>
      <c r="BW95" s="201"/>
      <c r="BX95" s="201"/>
      <c r="BY95" s="201"/>
      <c r="BZ95" s="201"/>
      <c r="CA95" s="201"/>
      <c r="CB95" s="201"/>
      <c r="CC95" s="201"/>
      <c r="CD95" s="201"/>
      <c r="CE95" s="201"/>
      <c r="CF95" s="201"/>
      <c r="CG95" s="201"/>
      <c r="CH95" s="201"/>
      <c r="CI95" s="201"/>
      <c r="CJ95" s="201"/>
      <c r="CK95" s="201"/>
      <c r="CL95" s="201"/>
      <c r="CM95" s="201"/>
      <c r="CN95" s="201"/>
      <c r="CO95" s="201"/>
      <c r="CP95" s="201"/>
      <c r="CQ95" s="201"/>
      <c r="CR95" s="201"/>
      <c r="CS95" s="201"/>
      <c r="CT95" s="201"/>
      <c r="CU95" s="201"/>
      <c r="CV95" s="201"/>
      <c r="CW95" s="201"/>
      <c r="CX95" s="201"/>
      <c r="CY95" s="201"/>
      <c r="CZ95" s="201"/>
      <c r="DA95" s="201"/>
      <c r="DB95" s="201"/>
      <c r="DC95" s="201"/>
      <c r="DD95" s="201"/>
      <c r="DE95" s="201"/>
      <c r="DF95" s="225"/>
      <c r="DG95" s="228"/>
      <c r="DH95" s="198"/>
      <c r="DI95" s="186"/>
      <c r="DJ95" s="204"/>
      <c r="DK95" s="198"/>
      <c r="DL95" s="198"/>
      <c r="DM95" s="186"/>
      <c r="DN95" s="198"/>
      <c r="DO95" s="186"/>
      <c r="DP95" s="204"/>
      <c r="DQ95" s="198"/>
      <c r="DR95" s="186"/>
      <c r="DS95" s="201"/>
      <c r="DT95" s="201"/>
      <c r="DU95" s="234"/>
      <c r="DV95" s="201"/>
      <c r="DW95" s="201"/>
      <c r="DX95" s="201"/>
      <c r="DY95" s="201"/>
      <c r="DZ95" s="201"/>
      <c r="EA95" s="201"/>
      <c r="EB95" s="201"/>
      <c r="EC95" s="201"/>
      <c r="ED95" s="201"/>
      <c r="EE95" s="201"/>
      <c r="EF95" s="201"/>
      <c r="EG95" s="201"/>
      <c r="EH95" s="201"/>
      <c r="EI95" s="201"/>
      <c r="EJ95" s="201"/>
      <c r="EK95" s="201"/>
      <c r="EL95" s="201"/>
      <c r="EM95" s="201"/>
      <c r="EN95" s="201"/>
      <c r="EO95" s="201"/>
      <c r="EP95" s="201"/>
      <c r="EQ95" s="201"/>
      <c r="ER95" s="201"/>
      <c r="ES95" s="201"/>
      <c r="ET95" s="201"/>
      <c r="EU95" s="201"/>
      <c r="EV95" s="201"/>
      <c r="EW95" s="201"/>
      <c r="EX95" s="201"/>
      <c r="EY95" s="201"/>
      <c r="EZ95" s="201"/>
      <c r="FA95" s="201"/>
      <c r="FB95" s="201"/>
      <c r="FC95" s="201"/>
      <c r="FD95" s="201"/>
      <c r="FE95" s="201"/>
      <c r="FF95" s="201"/>
      <c r="FG95" s="201"/>
      <c r="FH95" s="201"/>
      <c r="FI95" s="201"/>
      <c r="FJ95" s="201"/>
      <c r="FK95" s="201"/>
      <c r="FL95" s="250"/>
      <c r="FM95" s="186"/>
      <c r="FN95" s="198"/>
      <c r="FO95" s="198"/>
      <c r="FP95" s="198"/>
      <c r="FQ95" s="186"/>
      <c r="FR95" s="201"/>
      <c r="FS95" s="201"/>
      <c r="FT95" s="201"/>
      <c r="FU95" s="201"/>
      <c r="FV95" s="201"/>
      <c r="FW95" s="201"/>
      <c r="FX95" s="201"/>
      <c r="FY95" s="201"/>
      <c r="FZ95" s="201"/>
      <c r="GA95" s="201"/>
      <c r="GB95" s="201"/>
      <c r="GC95" s="201"/>
      <c r="GD95" s="201"/>
      <c r="GE95" s="201"/>
      <c r="GF95" s="201"/>
      <c r="GG95" s="201"/>
      <c r="GH95" s="201"/>
      <c r="GI95" s="201"/>
      <c r="GJ95" s="201"/>
      <c r="GK95" s="201"/>
      <c r="GL95" s="201"/>
      <c r="GM95" s="201"/>
      <c r="GN95" s="201"/>
      <c r="GO95" s="201"/>
      <c r="GP95" s="201"/>
      <c r="GQ95" s="201"/>
      <c r="GR95" s="201"/>
      <c r="GS95" s="201"/>
      <c r="GT95" s="201"/>
      <c r="GU95" s="201"/>
      <c r="GV95" s="201"/>
      <c r="GW95" s="201"/>
      <c r="GX95" s="201"/>
      <c r="GY95" s="201"/>
      <c r="GZ95" s="201"/>
      <c r="HA95" s="201"/>
      <c r="HB95" s="250"/>
    </row>
    <row r="96" spans="1:210" ht="71" thickBot="1">
      <c r="A96" s="57" t="s">
        <v>697</v>
      </c>
      <c r="B96" s="187"/>
      <c r="C96" s="175"/>
      <c r="D96" s="199"/>
      <c r="E96" s="175"/>
      <c r="F96" s="187"/>
      <c r="G96" s="175"/>
      <c r="H96" s="199"/>
      <c r="I96" s="199"/>
      <c r="J96" s="187"/>
      <c r="K96" s="175"/>
      <c r="L96" s="199"/>
      <c r="M96" s="175"/>
      <c r="N96" s="199"/>
      <c r="O96" s="187"/>
      <c r="P96" s="202"/>
      <c r="Q96" s="202"/>
      <c r="R96" s="17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26"/>
      <c r="DG96" s="229"/>
      <c r="DH96" s="199"/>
      <c r="DI96" s="187"/>
      <c r="DJ96" s="205"/>
      <c r="DK96" s="199"/>
      <c r="DL96" s="199"/>
      <c r="DM96" s="187"/>
      <c r="DN96" s="199"/>
      <c r="DO96" s="187"/>
      <c r="DP96" s="205"/>
      <c r="DQ96" s="199"/>
      <c r="DR96" s="187"/>
      <c r="DS96" s="202"/>
      <c r="DT96" s="202"/>
      <c r="DU96" s="235"/>
      <c r="DV96" s="202"/>
      <c r="DW96" s="202"/>
      <c r="DX96" s="202"/>
      <c r="DY96" s="202"/>
      <c r="DZ96" s="202"/>
      <c r="EA96" s="202"/>
      <c r="EB96" s="202"/>
      <c r="EC96" s="202"/>
      <c r="ED96" s="202"/>
      <c r="EE96" s="202"/>
      <c r="EF96" s="202"/>
      <c r="EG96" s="202"/>
      <c r="EH96" s="202"/>
      <c r="EI96" s="202"/>
      <c r="EJ96" s="202"/>
      <c r="EK96" s="202"/>
      <c r="EL96" s="202"/>
      <c r="EM96" s="202"/>
      <c r="EN96" s="202"/>
      <c r="EO96" s="202"/>
      <c r="EP96" s="202"/>
      <c r="EQ96" s="202"/>
      <c r="ER96" s="202"/>
      <c r="ES96" s="202"/>
      <c r="ET96" s="202"/>
      <c r="EU96" s="202"/>
      <c r="EV96" s="202"/>
      <c r="EW96" s="202"/>
      <c r="EX96" s="202"/>
      <c r="EY96" s="202"/>
      <c r="EZ96" s="202"/>
      <c r="FA96" s="202"/>
      <c r="FB96" s="202"/>
      <c r="FC96" s="202"/>
      <c r="FD96" s="202"/>
      <c r="FE96" s="202"/>
      <c r="FF96" s="202"/>
      <c r="FG96" s="202"/>
      <c r="FH96" s="202"/>
      <c r="FI96" s="202"/>
      <c r="FJ96" s="202"/>
      <c r="FK96" s="202"/>
      <c r="FL96" s="251"/>
      <c r="FM96" s="187"/>
      <c r="FN96" s="199"/>
      <c r="FO96" s="199"/>
      <c r="FP96" s="199"/>
      <c r="FQ96" s="187"/>
      <c r="FR96" s="202"/>
      <c r="FS96" s="202"/>
      <c r="FT96" s="202"/>
      <c r="FU96" s="202"/>
      <c r="FV96" s="202"/>
      <c r="FW96" s="202"/>
      <c r="FX96" s="202"/>
      <c r="FY96" s="202"/>
      <c r="FZ96" s="202"/>
      <c r="GA96" s="202"/>
      <c r="GB96" s="202"/>
      <c r="GC96" s="202"/>
      <c r="GD96" s="202"/>
      <c r="GE96" s="202"/>
      <c r="GF96" s="202"/>
      <c r="GG96" s="202"/>
      <c r="GH96" s="202"/>
      <c r="GI96" s="202"/>
      <c r="GJ96" s="202"/>
      <c r="GK96" s="202"/>
      <c r="GL96" s="202"/>
      <c r="GM96" s="202"/>
      <c r="GN96" s="202"/>
      <c r="GO96" s="202"/>
      <c r="GP96" s="202"/>
      <c r="GQ96" s="202"/>
      <c r="GR96" s="202"/>
      <c r="GS96" s="202"/>
      <c r="GT96" s="202"/>
      <c r="GU96" s="202"/>
      <c r="GV96" s="202"/>
      <c r="GW96" s="202"/>
      <c r="GX96" s="202"/>
      <c r="GY96" s="202"/>
      <c r="GZ96" s="202"/>
      <c r="HA96" s="202"/>
      <c r="HB96" s="251"/>
    </row>
    <row r="97" spans="1:210" ht="16" customHeight="1" thickTop="1">
      <c r="A97" s="59" t="s">
        <v>696</v>
      </c>
      <c r="B97" s="185">
        <v>1</v>
      </c>
      <c r="C97" s="167"/>
      <c r="D97" s="197">
        <v>1</v>
      </c>
      <c r="E97" s="167"/>
      <c r="F97" s="185">
        <v>1</v>
      </c>
      <c r="G97" s="167"/>
      <c r="H97" s="197">
        <v>1</v>
      </c>
      <c r="I97" s="197">
        <v>1</v>
      </c>
      <c r="J97" s="185">
        <v>0</v>
      </c>
      <c r="K97" s="167" t="s">
        <v>880</v>
      </c>
      <c r="L97" s="197">
        <v>1</v>
      </c>
      <c r="M97" s="167"/>
      <c r="N97" s="197">
        <v>0</v>
      </c>
      <c r="O97" s="185">
        <v>1</v>
      </c>
      <c r="P97" s="197">
        <v>1</v>
      </c>
      <c r="Q97" s="197">
        <v>0</v>
      </c>
      <c r="R97" s="170" t="s">
        <v>829</v>
      </c>
      <c r="S97" s="197">
        <v>0</v>
      </c>
      <c r="T97" s="197">
        <v>1</v>
      </c>
      <c r="U97" s="197">
        <v>1</v>
      </c>
      <c r="V97" s="197">
        <v>1</v>
      </c>
      <c r="W97" s="197">
        <v>1</v>
      </c>
      <c r="X97" s="197">
        <v>1</v>
      </c>
      <c r="Y97" s="197">
        <v>1</v>
      </c>
      <c r="Z97" s="197">
        <v>1</v>
      </c>
      <c r="AA97" s="197">
        <v>1</v>
      </c>
      <c r="AB97" s="197">
        <v>1</v>
      </c>
      <c r="AC97" s="197">
        <v>1</v>
      </c>
      <c r="AD97" s="197">
        <v>1</v>
      </c>
      <c r="AE97" s="197">
        <v>1</v>
      </c>
      <c r="AF97" s="197">
        <v>1</v>
      </c>
      <c r="AG97" s="197">
        <v>1</v>
      </c>
      <c r="AH97" s="197">
        <v>1</v>
      </c>
      <c r="AI97" s="197">
        <v>1</v>
      </c>
      <c r="AJ97" s="197">
        <v>1</v>
      </c>
      <c r="AK97" s="197">
        <v>1</v>
      </c>
      <c r="AL97" s="197">
        <v>1</v>
      </c>
      <c r="AM97" s="197">
        <v>1</v>
      </c>
      <c r="AN97" s="197">
        <v>1</v>
      </c>
      <c r="AO97" s="197">
        <v>1</v>
      </c>
      <c r="AP97" s="197">
        <v>1</v>
      </c>
      <c r="AQ97" s="197">
        <v>1</v>
      </c>
      <c r="AR97" s="197">
        <v>1</v>
      </c>
      <c r="AS97" s="197">
        <v>1</v>
      </c>
      <c r="AT97" s="197">
        <v>1</v>
      </c>
      <c r="AU97" s="197">
        <v>1</v>
      </c>
      <c r="AV97" s="197">
        <v>1</v>
      </c>
      <c r="AW97" s="197">
        <v>1</v>
      </c>
      <c r="AX97" s="197">
        <v>1</v>
      </c>
      <c r="AY97" s="197">
        <v>1</v>
      </c>
      <c r="AZ97" s="197">
        <v>1</v>
      </c>
      <c r="BA97" s="197">
        <v>1</v>
      </c>
      <c r="BB97" s="197">
        <v>1</v>
      </c>
      <c r="BC97" s="197">
        <v>1</v>
      </c>
      <c r="BD97" s="197">
        <v>1</v>
      </c>
      <c r="BE97" s="197">
        <v>1</v>
      </c>
      <c r="BF97" s="197">
        <v>1</v>
      </c>
      <c r="BG97" s="197">
        <v>1</v>
      </c>
      <c r="BH97" s="197">
        <v>1</v>
      </c>
      <c r="BI97" s="197">
        <v>1</v>
      </c>
      <c r="BJ97" s="197">
        <v>0</v>
      </c>
      <c r="BK97" s="197">
        <v>0</v>
      </c>
      <c r="BL97" s="197">
        <v>1</v>
      </c>
      <c r="BM97" s="197">
        <v>1</v>
      </c>
      <c r="BN97" s="197">
        <v>0</v>
      </c>
      <c r="BO97" s="197">
        <v>1</v>
      </c>
      <c r="BP97" s="197">
        <v>1</v>
      </c>
      <c r="BQ97" s="197">
        <v>1</v>
      </c>
      <c r="BR97" s="197">
        <v>1</v>
      </c>
      <c r="BS97" s="197">
        <v>1</v>
      </c>
      <c r="BT97" s="197">
        <v>1</v>
      </c>
      <c r="BU97" s="197">
        <v>1</v>
      </c>
      <c r="BV97" s="197">
        <v>1</v>
      </c>
      <c r="BW97" s="197">
        <v>1</v>
      </c>
      <c r="BX97" s="197">
        <v>1</v>
      </c>
      <c r="BY97" s="197">
        <v>1</v>
      </c>
      <c r="BZ97" s="197">
        <v>1</v>
      </c>
      <c r="CA97" s="197">
        <v>1</v>
      </c>
      <c r="CB97" s="197">
        <v>1</v>
      </c>
      <c r="CC97" s="197">
        <v>1</v>
      </c>
      <c r="CD97" s="197">
        <v>1</v>
      </c>
      <c r="CE97" s="197">
        <v>1</v>
      </c>
      <c r="CF97" s="197">
        <v>1</v>
      </c>
      <c r="CG97" s="197">
        <v>1</v>
      </c>
      <c r="CH97" s="197">
        <v>1</v>
      </c>
      <c r="CI97" s="197">
        <v>1</v>
      </c>
      <c r="CJ97" s="197">
        <v>1</v>
      </c>
      <c r="CK97" s="197">
        <v>1</v>
      </c>
      <c r="CL97" s="197">
        <v>1</v>
      </c>
      <c r="CM97" s="197">
        <v>1</v>
      </c>
      <c r="CN97" s="197">
        <v>1</v>
      </c>
      <c r="CO97" s="197">
        <v>1</v>
      </c>
      <c r="CP97" s="197">
        <v>1</v>
      </c>
      <c r="CQ97" s="197">
        <v>1</v>
      </c>
      <c r="CR97" s="197">
        <v>1</v>
      </c>
      <c r="CS97" s="197">
        <v>1</v>
      </c>
      <c r="CT97" s="197">
        <v>1</v>
      </c>
      <c r="CU97" s="197">
        <v>1</v>
      </c>
      <c r="CV97" s="197">
        <v>1</v>
      </c>
      <c r="CW97" s="197">
        <v>1</v>
      </c>
      <c r="CX97" s="197">
        <v>1</v>
      </c>
      <c r="CY97" s="197">
        <v>1</v>
      </c>
      <c r="CZ97" s="197">
        <v>1</v>
      </c>
      <c r="DA97" s="197">
        <v>1</v>
      </c>
      <c r="DB97" s="197">
        <v>1</v>
      </c>
      <c r="DC97" s="197">
        <v>1</v>
      </c>
      <c r="DD97" s="197">
        <v>1</v>
      </c>
      <c r="DE97" s="197">
        <v>1</v>
      </c>
      <c r="DF97" s="230">
        <v>1</v>
      </c>
      <c r="DG97" s="227">
        <f>+AVERAGE(B97:DF99)</f>
        <v>0.93203883495145634</v>
      </c>
      <c r="DH97" s="197">
        <v>1</v>
      </c>
      <c r="DI97" s="185">
        <v>1</v>
      </c>
      <c r="DJ97" s="203"/>
      <c r="DK97" s="197">
        <v>1</v>
      </c>
      <c r="DL97" s="197">
        <v>1</v>
      </c>
      <c r="DM97" s="185">
        <v>1</v>
      </c>
      <c r="DN97" s="197">
        <v>1</v>
      </c>
      <c r="DO97" s="185">
        <v>0</v>
      </c>
      <c r="DP97" s="203" t="s">
        <v>880</v>
      </c>
      <c r="DQ97" s="197">
        <v>0</v>
      </c>
      <c r="DR97" s="185">
        <v>1</v>
      </c>
      <c r="DS97" s="197">
        <v>1</v>
      </c>
      <c r="DT97" s="197">
        <v>0</v>
      </c>
      <c r="DU97" s="233" t="s">
        <v>829</v>
      </c>
      <c r="DV97" s="197">
        <v>1</v>
      </c>
      <c r="DW97" s="197">
        <v>1</v>
      </c>
      <c r="DX97" s="197">
        <v>1</v>
      </c>
      <c r="DY97" s="197">
        <v>1</v>
      </c>
      <c r="DZ97" s="197">
        <v>1</v>
      </c>
      <c r="EA97" s="197">
        <v>1</v>
      </c>
      <c r="EB97" s="197">
        <v>1</v>
      </c>
      <c r="EC97" s="197">
        <v>1</v>
      </c>
      <c r="ED97" s="197">
        <v>1</v>
      </c>
      <c r="EE97" s="197">
        <v>1</v>
      </c>
      <c r="EF97" s="197">
        <v>1</v>
      </c>
      <c r="EG97" s="197">
        <v>1</v>
      </c>
      <c r="EH97" s="197">
        <v>1</v>
      </c>
      <c r="EI97" s="197">
        <v>1</v>
      </c>
      <c r="EJ97" s="197">
        <v>1</v>
      </c>
      <c r="EK97" s="197">
        <v>1</v>
      </c>
      <c r="EL97" s="197">
        <v>1</v>
      </c>
      <c r="EM97" s="197">
        <v>1</v>
      </c>
      <c r="EN97" s="197">
        <v>1</v>
      </c>
      <c r="EO97" s="197">
        <v>1</v>
      </c>
      <c r="EP97" s="197">
        <v>1</v>
      </c>
      <c r="EQ97" s="197">
        <v>1</v>
      </c>
      <c r="ER97" s="197">
        <v>1</v>
      </c>
      <c r="ES97" s="197">
        <v>1</v>
      </c>
      <c r="ET97" s="197">
        <v>1</v>
      </c>
      <c r="EU97" s="197">
        <v>1</v>
      </c>
      <c r="EV97" s="197">
        <v>1</v>
      </c>
      <c r="EW97" s="197">
        <v>1</v>
      </c>
      <c r="EX97" s="197">
        <v>1</v>
      </c>
      <c r="EY97" s="197">
        <v>1</v>
      </c>
      <c r="EZ97" s="197">
        <v>1</v>
      </c>
      <c r="FA97" s="197">
        <v>1</v>
      </c>
      <c r="FB97" s="197">
        <v>1</v>
      </c>
      <c r="FC97" s="197">
        <v>1</v>
      </c>
      <c r="FD97" s="197">
        <v>1</v>
      </c>
      <c r="FE97" s="197">
        <v>1</v>
      </c>
      <c r="FF97" s="197">
        <v>1</v>
      </c>
      <c r="FG97" s="197">
        <v>1</v>
      </c>
      <c r="FH97" s="197">
        <v>1</v>
      </c>
      <c r="FI97" s="197">
        <v>1</v>
      </c>
      <c r="FJ97" s="197">
        <v>1</v>
      </c>
      <c r="FK97" s="197">
        <v>1</v>
      </c>
      <c r="FL97" s="249">
        <f>+AVERAGE(DH97:FK99)</f>
        <v>0.94339622641509435</v>
      </c>
      <c r="FM97" s="185">
        <v>1</v>
      </c>
      <c r="FN97" s="197">
        <v>1</v>
      </c>
      <c r="FO97" s="197">
        <v>1</v>
      </c>
      <c r="FP97" s="197">
        <v>1</v>
      </c>
      <c r="FQ97" s="185">
        <v>0</v>
      </c>
      <c r="FR97" s="197">
        <v>0</v>
      </c>
      <c r="FS97" s="197">
        <v>1</v>
      </c>
      <c r="FT97" s="197">
        <v>1</v>
      </c>
      <c r="FU97" s="197">
        <v>1</v>
      </c>
      <c r="FV97" s="197">
        <v>1</v>
      </c>
      <c r="FW97" s="197">
        <v>1</v>
      </c>
      <c r="FX97" s="197">
        <v>1</v>
      </c>
      <c r="FY97" s="197">
        <v>1</v>
      </c>
      <c r="FZ97" s="197">
        <v>1</v>
      </c>
      <c r="GA97" s="197">
        <v>1</v>
      </c>
      <c r="GB97" s="197">
        <v>1</v>
      </c>
      <c r="GC97" s="197">
        <v>1</v>
      </c>
      <c r="GD97" s="197">
        <v>1</v>
      </c>
      <c r="GE97" s="197">
        <v>1</v>
      </c>
      <c r="GF97" s="197">
        <v>1</v>
      </c>
      <c r="GG97" s="197">
        <v>0</v>
      </c>
      <c r="GH97" s="197">
        <v>1</v>
      </c>
      <c r="GI97" s="197">
        <v>0</v>
      </c>
      <c r="GJ97" s="197">
        <v>1</v>
      </c>
      <c r="GK97" s="197">
        <v>1</v>
      </c>
      <c r="GL97" s="197">
        <v>1</v>
      </c>
      <c r="GM97" s="197">
        <v>1</v>
      </c>
      <c r="GN97" s="197">
        <v>1</v>
      </c>
      <c r="GO97" s="197">
        <v>1</v>
      </c>
      <c r="GP97" s="197">
        <v>1</v>
      </c>
      <c r="GQ97" s="197">
        <v>1</v>
      </c>
      <c r="GR97" s="197">
        <v>1</v>
      </c>
      <c r="GS97" s="197">
        <v>1</v>
      </c>
      <c r="GT97" s="197">
        <v>1</v>
      </c>
      <c r="GU97" s="197">
        <v>1</v>
      </c>
      <c r="GV97" s="197">
        <v>1</v>
      </c>
      <c r="GW97" s="197">
        <v>1</v>
      </c>
      <c r="GX97" s="197">
        <v>1</v>
      </c>
      <c r="GY97" s="197">
        <v>1</v>
      </c>
      <c r="GZ97" s="197">
        <v>1</v>
      </c>
      <c r="HA97" s="197">
        <v>1</v>
      </c>
      <c r="HB97" s="249">
        <f>+AVERAGE(FM97:HA99)</f>
        <v>0.90243902439024393</v>
      </c>
    </row>
    <row r="98" spans="1:210" ht="15" customHeight="1">
      <c r="A98" s="58"/>
      <c r="B98" s="186"/>
      <c r="C98" s="168"/>
      <c r="D98" s="198"/>
      <c r="E98" s="168"/>
      <c r="F98" s="186"/>
      <c r="G98" s="168"/>
      <c r="H98" s="198"/>
      <c r="I98" s="198"/>
      <c r="J98" s="186"/>
      <c r="K98" s="168"/>
      <c r="L98" s="198"/>
      <c r="M98" s="168"/>
      <c r="N98" s="198"/>
      <c r="O98" s="186"/>
      <c r="P98" s="198"/>
      <c r="Q98" s="198"/>
      <c r="R98" s="171"/>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231"/>
      <c r="DG98" s="228"/>
      <c r="DH98" s="198"/>
      <c r="DI98" s="186"/>
      <c r="DJ98" s="204"/>
      <c r="DK98" s="198"/>
      <c r="DL98" s="198"/>
      <c r="DM98" s="186"/>
      <c r="DN98" s="198"/>
      <c r="DO98" s="186"/>
      <c r="DP98" s="204"/>
      <c r="DQ98" s="198"/>
      <c r="DR98" s="186"/>
      <c r="DS98" s="198"/>
      <c r="DT98" s="198"/>
      <c r="DU98" s="234"/>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250"/>
      <c r="FM98" s="186"/>
      <c r="FN98" s="198"/>
      <c r="FO98" s="198"/>
      <c r="FP98" s="198"/>
      <c r="FQ98" s="186"/>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250"/>
    </row>
    <row r="99" spans="1:210" ht="57" thickBot="1">
      <c r="A99" s="57" t="s">
        <v>695</v>
      </c>
      <c r="B99" s="187"/>
      <c r="C99" s="169"/>
      <c r="D99" s="199"/>
      <c r="E99" s="169"/>
      <c r="F99" s="187"/>
      <c r="G99" s="169"/>
      <c r="H99" s="199"/>
      <c r="I99" s="199"/>
      <c r="J99" s="187"/>
      <c r="K99" s="169"/>
      <c r="L99" s="199"/>
      <c r="M99" s="169"/>
      <c r="N99" s="199"/>
      <c r="O99" s="187"/>
      <c r="P99" s="199"/>
      <c r="Q99" s="199"/>
      <c r="R99" s="172"/>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232"/>
      <c r="DG99" s="229"/>
      <c r="DH99" s="199"/>
      <c r="DI99" s="187"/>
      <c r="DJ99" s="205"/>
      <c r="DK99" s="199"/>
      <c r="DL99" s="199"/>
      <c r="DM99" s="187"/>
      <c r="DN99" s="199"/>
      <c r="DO99" s="187"/>
      <c r="DP99" s="205"/>
      <c r="DQ99" s="199"/>
      <c r="DR99" s="187"/>
      <c r="DS99" s="199"/>
      <c r="DT99" s="199"/>
      <c r="DU99" s="235"/>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251"/>
      <c r="FM99" s="187"/>
      <c r="FN99" s="199"/>
      <c r="FO99" s="199"/>
      <c r="FP99" s="199"/>
      <c r="FQ99" s="187"/>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251"/>
    </row>
    <row r="100" spans="1:210" ht="16" customHeight="1" thickTop="1">
      <c r="A100" s="59" t="s">
        <v>694</v>
      </c>
      <c r="B100" s="185">
        <v>1</v>
      </c>
      <c r="C100" s="167" t="s">
        <v>860</v>
      </c>
      <c r="D100" s="197">
        <v>1</v>
      </c>
      <c r="E100" s="170" t="s">
        <v>830</v>
      </c>
      <c r="F100" s="185">
        <v>1</v>
      </c>
      <c r="G100" s="167" t="s">
        <v>873</v>
      </c>
      <c r="H100" s="197">
        <v>1</v>
      </c>
      <c r="I100" s="197">
        <v>1</v>
      </c>
      <c r="J100" s="185">
        <v>0</v>
      </c>
      <c r="K100" s="167" t="s">
        <v>881</v>
      </c>
      <c r="L100" s="197">
        <v>1</v>
      </c>
      <c r="M100" s="170" t="s">
        <v>889</v>
      </c>
      <c r="N100" s="197">
        <v>1</v>
      </c>
      <c r="O100" s="185">
        <v>0</v>
      </c>
      <c r="P100" s="197">
        <v>1</v>
      </c>
      <c r="Q100" s="197">
        <v>1</v>
      </c>
      <c r="R100" s="170" t="s">
        <v>830</v>
      </c>
      <c r="S100" s="197">
        <v>1</v>
      </c>
      <c r="T100" s="197">
        <v>1</v>
      </c>
      <c r="U100" s="197">
        <v>1</v>
      </c>
      <c r="V100" s="197">
        <v>1</v>
      </c>
      <c r="W100" s="197">
        <v>0</v>
      </c>
      <c r="X100" s="197">
        <v>1</v>
      </c>
      <c r="Y100" s="197">
        <v>1</v>
      </c>
      <c r="Z100" s="197">
        <v>1</v>
      </c>
      <c r="AA100" s="197">
        <v>1</v>
      </c>
      <c r="AB100" s="197">
        <v>1</v>
      </c>
      <c r="AC100" s="197">
        <v>1</v>
      </c>
      <c r="AD100" s="197">
        <v>1</v>
      </c>
      <c r="AE100" s="197">
        <v>0</v>
      </c>
      <c r="AF100" s="197">
        <v>0</v>
      </c>
      <c r="AG100" s="197">
        <v>0</v>
      </c>
      <c r="AH100" s="197">
        <v>1</v>
      </c>
      <c r="AI100" s="197">
        <v>1</v>
      </c>
      <c r="AJ100" s="197">
        <v>1</v>
      </c>
      <c r="AK100" s="197">
        <v>1</v>
      </c>
      <c r="AL100" s="197">
        <v>1</v>
      </c>
      <c r="AM100" s="197">
        <v>1</v>
      </c>
      <c r="AN100" s="197">
        <v>1</v>
      </c>
      <c r="AO100" s="197">
        <v>1</v>
      </c>
      <c r="AP100" s="197">
        <v>0</v>
      </c>
      <c r="AQ100" s="197">
        <v>1</v>
      </c>
      <c r="AR100" s="197">
        <v>1</v>
      </c>
      <c r="AS100" s="197">
        <v>1</v>
      </c>
      <c r="AT100" s="197">
        <v>1</v>
      </c>
      <c r="AU100" s="197">
        <v>1</v>
      </c>
      <c r="AV100" s="197">
        <v>1</v>
      </c>
      <c r="AW100" s="197">
        <v>1</v>
      </c>
      <c r="AX100" s="197">
        <v>1</v>
      </c>
      <c r="AY100" s="197">
        <v>1</v>
      </c>
      <c r="AZ100" s="197">
        <v>0</v>
      </c>
      <c r="BA100" s="197">
        <v>1</v>
      </c>
      <c r="BB100" s="197">
        <v>1</v>
      </c>
      <c r="BC100" s="197">
        <v>1</v>
      </c>
      <c r="BD100" s="197">
        <v>1</v>
      </c>
      <c r="BE100" s="197">
        <v>1</v>
      </c>
      <c r="BF100" s="197">
        <v>1</v>
      </c>
      <c r="BG100" s="197">
        <v>1</v>
      </c>
      <c r="BH100" s="197">
        <v>1</v>
      </c>
      <c r="BI100" s="197">
        <v>1</v>
      </c>
      <c r="BJ100" s="197">
        <v>1</v>
      </c>
      <c r="BK100" s="197">
        <v>1</v>
      </c>
      <c r="BL100" s="197">
        <v>1</v>
      </c>
      <c r="BM100" s="197">
        <v>1</v>
      </c>
      <c r="BN100" s="197">
        <v>1</v>
      </c>
      <c r="BO100" s="197">
        <v>1</v>
      </c>
      <c r="BP100" s="197">
        <v>1</v>
      </c>
      <c r="BQ100" s="197">
        <v>1</v>
      </c>
      <c r="BR100" s="197">
        <v>1</v>
      </c>
      <c r="BS100" s="197">
        <v>1</v>
      </c>
      <c r="BT100" s="197">
        <v>1</v>
      </c>
      <c r="BU100" s="197">
        <v>1</v>
      </c>
      <c r="BV100" s="197">
        <v>1</v>
      </c>
      <c r="BW100" s="197">
        <v>1</v>
      </c>
      <c r="BX100" s="197">
        <v>1</v>
      </c>
      <c r="BY100" s="197">
        <v>1</v>
      </c>
      <c r="BZ100" s="197">
        <v>1</v>
      </c>
      <c r="CA100" s="197">
        <v>1</v>
      </c>
      <c r="CB100" s="197">
        <v>1</v>
      </c>
      <c r="CC100" s="197">
        <v>1</v>
      </c>
      <c r="CD100" s="197">
        <v>1</v>
      </c>
      <c r="CE100" s="197">
        <v>1</v>
      </c>
      <c r="CF100" s="197">
        <v>1</v>
      </c>
      <c r="CG100" s="197">
        <v>1</v>
      </c>
      <c r="CH100" s="197">
        <v>1</v>
      </c>
      <c r="CI100" s="197">
        <v>1</v>
      </c>
      <c r="CJ100" s="197">
        <v>1</v>
      </c>
      <c r="CK100" s="197">
        <v>1</v>
      </c>
      <c r="CL100" s="197">
        <v>1</v>
      </c>
      <c r="CM100" s="197">
        <v>1</v>
      </c>
      <c r="CN100" s="197">
        <v>1</v>
      </c>
      <c r="CO100" s="197">
        <v>1</v>
      </c>
      <c r="CP100" s="197">
        <v>1</v>
      </c>
      <c r="CQ100" s="197">
        <v>1</v>
      </c>
      <c r="CR100" s="197">
        <v>1</v>
      </c>
      <c r="CS100" s="197">
        <v>1</v>
      </c>
      <c r="CT100" s="197">
        <v>1</v>
      </c>
      <c r="CU100" s="197">
        <v>1</v>
      </c>
      <c r="CV100" s="197">
        <v>1</v>
      </c>
      <c r="CW100" s="197">
        <v>1</v>
      </c>
      <c r="CX100" s="197">
        <v>1</v>
      </c>
      <c r="CY100" s="197">
        <v>1</v>
      </c>
      <c r="CZ100" s="197">
        <v>1</v>
      </c>
      <c r="DA100" s="197">
        <v>1</v>
      </c>
      <c r="DB100" s="197">
        <v>1</v>
      </c>
      <c r="DC100" s="197">
        <v>1</v>
      </c>
      <c r="DD100" s="197">
        <v>1</v>
      </c>
      <c r="DE100" s="197">
        <v>1</v>
      </c>
      <c r="DF100" s="230">
        <v>1</v>
      </c>
      <c r="DG100" s="227">
        <f>+AVERAGE(B100:DF101)</f>
        <v>0.92233009708737868</v>
      </c>
      <c r="DH100" s="197">
        <v>1</v>
      </c>
      <c r="DI100" s="185">
        <v>1</v>
      </c>
      <c r="DJ100" s="203"/>
      <c r="DK100" s="197">
        <v>1</v>
      </c>
      <c r="DL100" s="197">
        <v>1</v>
      </c>
      <c r="DM100" s="185">
        <v>1</v>
      </c>
      <c r="DN100" s="197"/>
      <c r="DO100" s="185">
        <v>1</v>
      </c>
      <c r="DP100" s="203"/>
      <c r="DQ100" s="197">
        <v>1</v>
      </c>
      <c r="DR100" s="185">
        <v>1</v>
      </c>
      <c r="DS100" s="197">
        <v>0</v>
      </c>
      <c r="DT100" s="197">
        <v>1</v>
      </c>
      <c r="DU100" s="233"/>
      <c r="DV100" s="197">
        <v>1</v>
      </c>
      <c r="DW100" s="197">
        <v>1</v>
      </c>
      <c r="DX100" s="197">
        <v>0</v>
      </c>
      <c r="DY100" s="197">
        <v>1</v>
      </c>
      <c r="DZ100" s="197">
        <v>1</v>
      </c>
      <c r="EA100" s="197">
        <v>0</v>
      </c>
      <c r="EB100" s="197">
        <v>1</v>
      </c>
      <c r="EC100" s="197">
        <v>1</v>
      </c>
      <c r="ED100" s="197">
        <v>1</v>
      </c>
      <c r="EE100" s="197">
        <v>1</v>
      </c>
      <c r="EF100" s="197">
        <v>1</v>
      </c>
      <c r="EG100" s="197">
        <v>1</v>
      </c>
      <c r="EH100" s="197">
        <v>1</v>
      </c>
      <c r="EI100" s="197">
        <v>1</v>
      </c>
      <c r="EJ100" s="197">
        <v>1</v>
      </c>
      <c r="EK100" s="197">
        <v>1</v>
      </c>
      <c r="EL100" s="197">
        <v>1</v>
      </c>
      <c r="EM100" s="197">
        <v>1</v>
      </c>
      <c r="EN100" s="197">
        <v>1</v>
      </c>
      <c r="EO100" s="197">
        <v>1</v>
      </c>
      <c r="EP100" s="197">
        <v>1</v>
      </c>
      <c r="EQ100" s="197">
        <v>1</v>
      </c>
      <c r="ER100" s="197">
        <v>1</v>
      </c>
      <c r="ES100" s="197">
        <v>1</v>
      </c>
      <c r="ET100" s="197">
        <v>1</v>
      </c>
      <c r="EU100" s="197">
        <v>1</v>
      </c>
      <c r="EV100" s="197">
        <v>1</v>
      </c>
      <c r="EW100" s="197">
        <v>1</v>
      </c>
      <c r="EX100" s="197">
        <v>1</v>
      </c>
      <c r="EY100" s="197">
        <v>1</v>
      </c>
      <c r="EZ100" s="197">
        <v>1</v>
      </c>
      <c r="FA100" s="197">
        <v>1</v>
      </c>
      <c r="FB100" s="197">
        <v>1</v>
      </c>
      <c r="FC100" s="197">
        <v>1</v>
      </c>
      <c r="FD100" s="197">
        <v>1</v>
      </c>
      <c r="FE100" s="197">
        <v>1</v>
      </c>
      <c r="FF100" s="197">
        <v>1</v>
      </c>
      <c r="FG100" s="197">
        <v>1</v>
      </c>
      <c r="FH100" s="197">
        <v>1</v>
      </c>
      <c r="FI100" s="197">
        <v>1</v>
      </c>
      <c r="FJ100" s="197">
        <v>1</v>
      </c>
      <c r="FK100" s="197">
        <v>1</v>
      </c>
      <c r="FL100" s="227">
        <f>+AVERAGE(DH100:FK101)</f>
        <v>0.94230769230769229</v>
      </c>
      <c r="FM100" s="185">
        <v>1</v>
      </c>
      <c r="FN100" s="197">
        <v>1</v>
      </c>
      <c r="FO100" s="197">
        <v>1</v>
      </c>
      <c r="FP100" s="197"/>
      <c r="FQ100" s="185">
        <v>1</v>
      </c>
      <c r="FR100" s="197">
        <v>1</v>
      </c>
      <c r="FS100" s="197">
        <v>1</v>
      </c>
      <c r="FT100" s="197">
        <v>1</v>
      </c>
      <c r="FU100" s="197">
        <v>1</v>
      </c>
      <c r="FV100" s="197">
        <v>1</v>
      </c>
      <c r="FW100" s="197">
        <v>1</v>
      </c>
      <c r="FX100" s="197">
        <v>0</v>
      </c>
      <c r="FY100" s="197">
        <v>1</v>
      </c>
      <c r="FZ100" s="197">
        <v>1</v>
      </c>
      <c r="GA100" s="197">
        <v>1</v>
      </c>
      <c r="GB100" s="197">
        <v>1</v>
      </c>
      <c r="GC100" s="197">
        <v>1</v>
      </c>
      <c r="GD100" s="197">
        <v>1</v>
      </c>
      <c r="GE100" s="197">
        <v>1</v>
      </c>
      <c r="GF100" s="197">
        <v>1</v>
      </c>
      <c r="GG100" s="197">
        <v>1</v>
      </c>
      <c r="GH100" s="197">
        <v>1</v>
      </c>
      <c r="GI100" s="197">
        <v>1</v>
      </c>
      <c r="GJ100" s="197">
        <v>1</v>
      </c>
      <c r="GK100" s="197">
        <v>1</v>
      </c>
      <c r="GL100" s="197">
        <v>1</v>
      </c>
      <c r="GM100" s="197">
        <v>1</v>
      </c>
      <c r="GN100" s="197">
        <v>1</v>
      </c>
      <c r="GO100" s="197">
        <v>1</v>
      </c>
      <c r="GP100" s="197">
        <v>1</v>
      </c>
      <c r="GQ100" s="197">
        <v>1</v>
      </c>
      <c r="GR100" s="197">
        <v>1</v>
      </c>
      <c r="GS100" s="197">
        <v>1</v>
      </c>
      <c r="GT100" s="197">
        <v>1</v>
      </c>
      <c r="GU100" s="197">
        <v>1</v>
      </c>
      <c r="GV100" s="197">
        <v>1</v>
      </c>
      <c r="GW100" s="197">
        <v>1</v>
      </c>
      <c r="GX100" s="197">
        <v>1</v>
      </c>
      <c r="GY100" s="197">
        <v>1</v>
      </c>
      <c r="GZ100" s="197">
        <v>1</v>
      </c>
      <c r="HA100" s="197">
        <v>1</v>
      </c>
      <c r="HB100" s="227">
        <f>+AVERAGE(FM100:HA101)</f>
        <v>0.97499999999999998</v>
      </c>
    </row>
    <row r="101" spans="1:210" ht="144" thickBot="1">
      <c r="A101" s="57" t="s">
        <v>693</v>
      </c>
      <c r="B101" s="187"/>
      <c r="C101" s="169"/>
      <c r="D101" s="199"/>
      <c r="E101" s="172"/>
      <c r="F101" s="187"/>
      <c r="G101" s="169"/>
      <c r="H101" s="199"/>
      <c r="I101" s="199"/>
      <c r="J101" s="187"/>
      <c r="K101" s="169"/>
      <c r="L101" s="199"/>
      <c r="M101" s="172"/>
      <c r="N101" s="199"/>
      <c r="O101" s="187"/>
      <c r="P101" s="198"/>
      <c r="Q101" s="198"/>
      <c r="R101" s="172"/>
      <c r="S101" s="199"/>
      <c r="T101" s="199"/>
      <c r="U101" s="199"/>
      <c r="V101" s="199"/>
      <c r="W101" s="199"/>
      <c r="X101" s="198"/>
      <c r="Y101" s="198"/>
      <c r="Z101" s="198"/>
      <c r="AA101" s="198"/>
      <c r="AB101" s="198"/>
      <c r="AC101" s="198"/>
      <c r="AD101" s="198"/>
      <c r="AE101" s="198"/>
      <c r="AF101" s="199"/>
      <c r="AG101" s="199"/>
      <c r="AH101" s="199"/>
      <c r="AI101" s="199"/>
      <c r="AJ101" s="199"/>
      <c r="AK101" s="199"/>
      <c r="AL101" s="198"/>
      <c r="AM101" s="198"/>
      <c r="AN101" s="198"/>
      <c r="AO101" s="198"/>
      <c r="AP101" s="198"/>
      <c r="AQ101" s="198"/>
      <c r="AR101" s="199"/>
      <c r="AS101" s="199"/>
      <c r="AT101" s="199"/>
      <c r="AU101" s="199"/>
      <c r="AV101" s="199"/>
      <c r="AW101" s="198"/>
      <c r="AX101" s="198"/>
      <c r="AY101" s="198"/>
      <c r="AZ101" s="198"/>
      <c r="BA101" s="198"/>
      <c r="BB101" s="199"/>
      <c r="BC101" s="199"/>
      <c r="BD101" s="199"/>
      <c r="BE101" s="199"/>
      <c r="BF101" s="199"/>
      <c r="BG101" s="198"/>
      <c r="BH101" s="198"/>
      <c r="BI101" s="198"/>
      <c r="BJ101" s="198"/>
      <c r="BK101" s="198"/>
      <c r="BL101" s="198"/>
      <c r="BM101" s="198"/>
      <c r="BN101" s="199"/>
      <c r="BO101" s="199"/>
      <c r="BP101" s="199"/>
      <c r="BQ101" s="199"/>
      <c r="BR101" s="199"/>
      <c r="BS101" s="199"/>
      <c r="BT101" s="198"/>
      <c r="BU101" s="198"/>
      <c r="BV101" s="198"/>
      <c r="BW101" s="199"/>
      <c r="BX101" s="199"/>
      <c r="BY101" s="199"/>
      <c r="BZ101" s="199"/>
      <c r="CA101" s="198"/>
      <c r="CB101" s="198"/>
      <c r="CC101" s="198"/>
      <c r="CD101" s="198"/>
      <c r="CE101" s="198"/>
      <c r="CF101" s="198"/>
      <c r="CG101" s="198"/>
      <c r="CH101" s="198"/>
      <c r="CI101" s="199"/>
      <c r="CJ101" s="199"/>
      <c r="CK101" s="199"/>
      <c r="CL101" s="199"/>
      <c r="CM101" s="199"/>
      <c r="CN101" s="198"/>
      <c r="CO101" s="198"/>
      <c r="CP101" s="198"/>
      <c r="CQ101" s="198"/>
      <c r="CR101" s="198"/>
      <c r="CS101" s="198"/>
      <c r="CT101" s="198"/>
      <c r="CU101" s="198"/>
      <c r="CV101" s="198"/>
      <c r="CW101" s="199"/>
      <c r="CX101" s="199"/>
      <c r="CY101" s="199"/>
      <c r="CZ101" s="199"/>
      <c r="DA101" s="199"/>
      <c r="DB101" s="198"/>
      <c r="DC101" s="198"/>
      <c r="DD101" s="198"/>
      <c r="DE101" s="198"/>
      <c r="DF101" s="231"/>
      <c r="DG101" s="228"/>
      <c r="DH101" s="199"/>
      <c r="DI101" s="187"/>
      <c r="DJ101" s="205"/>
      <c r="DK101" s="199"/>
      <c r="DL101" s="199"/>
      <c r="DM101" s="187"/>
      <c r="DN101" s="199"/>
      <c r="DO101" s="187"/>
      <c r="DP101" s="205"/>
      <c r="DQ101" s="199"/>
      <c r="DR101" s="187"/>
      <c r="DS101" s="198"/>
      <c r="DT101" s="198"/>
      <c r="DU101" s="235"/>
      <c r="DV101" s="199"/>
      <c r="DW101" s="199"/>
      <c r="DX101" s="199"/>
      <c r="DY101" s="198"/>
      <c r="DZ101" s="198"/>
      <c r="EA101" s="198"/>
      <c r="EB101" s="199"/>
      <c r="EC101" s="199"/>
      <c r="ED101" s="198"/>
      <c r="EE101" s="198"/>
      <c r="EF101" s="198"/>
      <c r="EG101" s="198"/>
      <c r="EH101" s="199"/>
      <c r="EI101" s="199"/>
      <c r="EJ101" s="198"/>
      <c r="EK101" s="198"/>
      <c r="EL101" s="199"/>
      <c r="EM101" s="199"/>
      <c r="EN101" s="199"/>
      <c r="EO101" s="199"/>
      <c r="EP101" s="198"/>
      <c r="EQ101" s="199"/>
      <c r="ER101" s="199"/>
      <c r="ES101" s="198"/>
      <c r="ET101" s="198"/>
      <c r="EU101" s="198"/>
      <c r="EV101" s="198"/>
      <c r="EW101" s="198"/>
      <c r="EX101" s="198"/>
      <c r="EY101" s="199"/>
      <c r="EZ101" s="199"/>
      <c r="FA101" s="199"/>
      <c r="FB101" s="198"/>
      <c r="FC101" s="198"/>
      <c r="FD101" s="198"/>
      <c r="FE101" s="198"/>
      <c r="FF101" s="199"/>
      <c r="FG101" s="199"/>
      <c r="FH101" s="198"/>
      <c r="FI101" s="198"/>
      <c r="FJ101" s="198"/>
      <c r="FK101" s="198"/>
      <c r="FL101" s="228"/>
      <c r="FM101" s="187"/>
      <c r="FN101" s="199"/>
      <c r="FO101" s="199"/>
      <c r="FP101" s="199"/>
      <c r="FQ101" s="187"/>
      <c r="FR101" s="199"/>
      <c r="FS101" s="199"/>
      <c r="FT101" s="199"/>
      <c r="FU101" s="198"/>
      <c r="FV101" s="198"/>
      <c r="FW101" s="198"/>
      <c r="FX101" s="198"/>
      <c r="FY101" s="198"/>
      <c r="FZ101" s="198"/>
      <c r="GA101" s="198"/>
      <c r="GB101" s="199"/>
      <c r="GC101" s="198"/>
      <c r="GD101" s="199"/>
      <c r="GE101" s="199"/>
      <c r="GF101" s="198"/>
      <c r="GG101" s="198"/>
      <c r="GH101" s="198"/>
      <c r="GI101" s="199"/>
      <c r="GJ101" s="199"/>
      <c r="GK101" s="199"/>
      <c r="GL101" s="199"/>
      <c r="GM101" s="198"/>
      <c r="GN101" s="198"/>
      <c r="GO101" s="198"/>
      <c r="GP101" s="198"/>
      <c r="GQ101" s="198"/>
      <c r="GR101" s="199"/>
      <c r="GS101" s="198"/>
      <c r="GT101" s="198"/>
      <c r="GU101" s="198"/>
      <c r="GV101" s="198"/>
      <c r="GW101" s="199"/>
      <c r="GX101" s="199"/>
      <c r="GY101" s="199"/>
      <c r="GZ101" s="198"/>
      <c r="HA101" s="198"/>
      <c r="HB101" s="228"/>
    </row>
    <row r="102" spans="1:210" ht="25" customHeight="1" thickTop="1" thickBot="1">
      <c r="A102" s="80" t="s">
        <v>692</v>
      </c>
      <c r="B102" s="81"/>
      <c r="C102" s="76"/>
      <c r="D102" s="76"/>
      <c r="E102" s="76"/>
      <c r="F102" s="96"/>
      <c r="G102" s="97"/>
      <c r="H102" s="89"/>
      <c r="I102" s="89"/>
      <c r="J102" s="96"/>
      <c r="K102" s="97"/>
      <c r="L102" s="89"/>
      <c r="M102" s="97"/>
      <c r="N102" s="89"/>
      <c r="O102" s="96"/>
      <c r="P102" s="89"/>
      <c r="Q102" s="89"/>
      <c r="R102" s="76"/>
      <c r="S102" s="89"/>
      <c r="T102" s="89"/>
      <c r="U102" s="99"/>
      <c r="V102" s="89"/>
      <c r="W102" s="89"/>
      <c r="X102" s="89"/>
      <c r="Y102" s="99"/>
      <c r="Z102" s="89"/>
      <c r="AA102" s="89"/>
      <c r="AB102" s="89"/>
      <c r="AC102" s="89"/>
      <c r="AD102" s="89"/>
      <c r="AE102" s="89"/>
      <c r="AF102" s="89"/>
      <c r="AG102" s="89"/>
      <c r="AH102" s="89"/>
      <c r="AI102" s="89"/>
      <c r="AJ102" s="99"/>
      <c r="AK102" s="89"/>
      <c r="AL102" s="89"/>
      <c r="AM102" s="99"/>
      <c r="AN102" s="89"/>
      <c r="AO102" s="89"/>
      <c r="AP102" s="89"/>
      <c r="AQ102" s="89"/>
      <c r="AR102" s="99"/>
      <c r="AS102" s="89"/>
      <c r="AT102" s="89"/>
      <c r="AU102" s="89"/>
      <c r="AV102" s="89"/>
      <c r="AW102" s="89"/>
      <c r="AX102" s="89"/>
      <c r="AY102" s="99"/>
      <c r="AZ102" s="89"/>
      <c r="BA102" s="89"/>
      <c r="BB102" s="89"/>
      <c r="BC102" s="89"/>
      <c r="BD102" s="89"/>
      <c r="BE102" s="89"/>
      <c r="BF102" s="89"/>
      <c r="BG102" s="89"/>
      <c r="BH102" s="89"/>
      <c r="BI102" s="99"/>
      <c r="BJ102" s="89"/>
      <c r="BK102" s="89"/>
      <c r="BL102" s="89"/>
      <c r="BM102" s="89"/>
      <c r="BN102" s="89"/>
      <c r="BO102" s="89"/>
      <c r="BP102" s="89"/>
      <c r="BQ102" s="89"/>
      <c r="BR102" s="99"/>
      <c r="BS102" s="99"/>
      <c r="BT102" s="89"/>
      <c r="BU102" s="89"/>
      <c r="BV102" s="89"/>
      <c r="BW102" s="89"/>
      <c r="BX102" s="99"/>
      <c r="BY102" s="89"/>
      <c r="BZ102" s="89"/>
      <c r="CA102" s="89"/>
      <c r="CB102" s="99"/>
      <c r="CC102" s="89"/>
      <c r="CD102" s="89"/>
      <c r="CE102" s="89"/>
      <c r="CF102" s="89"/>
      <c r="CG102" s="99"/>
      <c r="CH102" s="89"/>
      <c r="CI102" s="89"/>
      <c r="CJ102" s="89"/>
      <c r="CK102" s="89"/>
      <c r="CL102" s="89"/>
      <c r="CM102" s="89"/>
      <c r="CN102" s="89"/>
      <c r="CO102" s="89"/>
      <c r="CP102" s="89"/>
      <c r="CQ102" s="89"/>
      <c r="CR102" s="99"/>
      <c r="CS102" s="89"/>
      <c r="CT102" s="89"/>
      <c r="CU102" s="89"/>
      <c r="CV102" s="89"/>
      <c r="CW102" s="99"/>
      <c r="CX102" s="99"/>
      <c r="CY102" s="89"/>
      <c r="CZ102" s="89"/>
      <c r="DA102" s="89"/>
      <c r="DB102" s="89"/>
      <c r="DC102" s="89"/>
      <c r="DD102" s="89"/>
      <c r="DE102" s="89"/>
      <c r="DF102" s="89"/>
      <c r="DG102" s="105">
        <f>+AVERAGE(DG103:DG117)</f>
        <v>1</v>
      </c>
      <c r="DH102" s="89"/>
      <c r="DI102" s="96"/>
      <c r="DJ102" s="112"/>
      <c r="DK102" s="89"/>
      <c r="DL102" s="89"/>
      <c r="DM102" s="96"/>
      <c r="DN102" s="89"/>
      <c r="DO102" s="96"/>
      <c r="DP102" s="112"/>
      <c r="DQ102" s="89"/>
      <c r="DR102" s="96"/>
      <c r="DS102" s="89"/>
      <c r="DT102" s="89"/>
      <c r="DU102" s="89"/>
      <c r="DV102" s="99"/>
      <c r="DW102" s="89"/>
      <c r="DX102" s="89"/>
      <c r="DY102" s="99"/>
      <c r="DZ102" s="89"/>
      <c r="EA102" s="99"/>
      <c r="EB102" s="99"/>
      <c r="EC102" s="89"/>
      <c r="ED102" s="99"/>
      <c r="EE102" s="89"/>
      <c r="EF102" s="89"/>
      <c r="EG102" s="89"/>
      <c r="EH102" s="89"/>
      <c r="EI102" s="89"/>
      <c r="EJ102" s="89"/>
      <c r="EK102" s="89"/>
      <c r="EL102" s="89"/>
      <c r="EM102" s="89"/>
      <c r="EN102" s="89"/>
      <c r="EO102" s="89"/>
      <c r="EP102" s="89"/>
      <c r="EQ102" s="89"/>
      <c r="ER102" s="89"/>
      <c r="ES102" s="89"/>
      <c r="ET102" s="89"/>
      <c r="EU102" s="89"/>
      <c r="EV102" s="89"/>
      <c r="EW102" s="89"/>
      <c r="EX102" s="99"/>
      <c r="EY102" s="89"/>
      <c r="EZ102" s="99"/>
      <c r="FA102" s="89"/>
      <c r="FB102" s="89"/>
      <c r="FC102" s="89"/>
      <c r="FD102" s="99"/>
      <c r="FE102" s="89"/>
      <c r="FF102" s="89"/>
      <c r="FG102" s="89"/>
      <c r="FH102" s="89"/>
      <c r="FI102" s="89"/>
      <c r="FJ102" s="89"/>
      <c r="FK102" s="89"/>
      <c r="FL102" s="105">
        <f>+AVERAGE(FL103:FL117)</f>
        <v>1</v>
      </c>
      <c r="FM102" s="96"/>
      <c r="FN102" s="89"/>
      <c r="FO102" s="89"/>
      <c r="FP102" s="89"/>
      <c r="FQ102" s="96"/>
      <c r="FR102" s="89"/>
      <c r="FS102" s="89"/>
      <c r="FT102" s="99"/>
      <c r="FU102" s="99"/>
      <c r="FV102" s="89"/>
      <c r="FW102" s="89"/>
      <c r="FX102" s="99"/>
      <c r="FY102" s="99"/>
      <c r="FZ102" s="89"/>
      <c r="GA102" s="89"/>
      <c r="GB102" s="99"/>
      <c r="GC102" s="89"/>
      <c r="GD102" s="89"/>
      <c r="GE102" s="89"/>
      <c r="GF102" s="89"/>
      <c r="GG102" s="89"/>
      <c r="GH102" s="89"/>
      <c r="GI102" s="89"/>
      <c r="GJ102" s="89"/>
      <c r="GK102" s="89"/>
      <c r="GL102" s="89"/>
      <c r="GM102" s="89"/>
      <c r="GN102" s="89"/>
      <c r="GO102" s="89"/>
      <c r="GP102" s="89"/>
      <c r="GQ102" s="99"/>
      <c r="GR102" s="89"/>
      <c r="GS102" s="89"/>
      <c r="GT102" s="89"/>
      <c r="GU102" s="99"/>
      <c r="GV102" s="89"/>
      <c r="GW102" s="99"/>
      <c r="GX102" s="89"/>
      <c r="GY102" s="89"/>
      <c r="GZ102" s="89"/>
      <c r="HA102" s="89"/>
      <c r="HB102" s="105">
        <f>+AVERAGE(HB103:HB117)</f>
        <v>1</v>
      </c>
    </row>
    <row r="103" spans="1:210" ht="16" customHeight="1" thickTop="1">
      <c r="A103" s="59" t="s">
        <v>691</v>
      </c>
      <c r="B103" s="185">
        <v>1</v>
      </c>
      <c r="C103" s="173"/>
      <c r="D103" s="197">
        <v>1</v>
      </c>
      <c r="E103" s="170"/>
      <c r="F103" s="185">
        <v>1</v>
      </c>
      <c r="G103" s="173"/>
      <c r="H103" s="197">
        <v>1</v>
      </c>
      <c r="I103" s="197">
        <v>1</v>
      </c>
      <c r="J103" s="185">
        <v>1</v>
      </c>
      <c r="K103" s="173"/>
      <c r="L103" s="197">
        <v>1</v>
      </c>
      <c r="M103" s="173"/>
      <c r="N103" s="197">
        <v>1</v>
      </c>
      <c r="O103" s="185">
        <v>1</v>
      </c>
      <c r="P103" s="200">
        <v>1</v>
      </c>
      <c r="Q103" s="200">
        <v>1</v>
      </c>
      <c r="R103" s="170"/>
      <c r="S103" s="200">
        <v>1</v>
      </c>
      <c r="T103" s="200">
        <v>1</v>
      </c>
      <c r="U103" s="200">
        <v>1</v>
      </c>
      <c r="V103" s="200">
        <v>1</v>
      </c>
      <c r="W103" s="200">
        <v>1</v>
      </c>
      <c r="X103" s="200">
        <v>1</v>
      </c>
      <c r="Y103" s="200">
        <v>1</v>
      </c>
      <c r="Z103" s="200">
        <v>1</v>
      </c>
      <c r="AA103" s="200">
        <v>1</v>
      </c>
      <c r="AB103" s="200">
        <v>1</v>
      </c>
      <c r="AC103" s="200">
        <v>1</v>
      </c>
      <c r="AD103" s="200">
        <v>1</v>
      </c>
      <c r="AE103" s="200">
        <v>1</v>
      </c>
      <c r="AF103" s="200">
        <v>1</v>
      </c>
      <c r="AG103" s="200">
        <v>1</v>
      </c>
      <c r="AH103" s="200">
        <v>1</v>
      </c>
      <c r="AI103" s="200">
        <v>1</v>
      </c>
      <c r="AJ103" s="200">
        <v>1</v>
      </c>
      <c r="AK103" s="200">
        <v>1</v>
      </c>
      <c r="AL103" s="200">
        <v>1</v>
      </c>
      <c r="AM103" s="200">
        <v>1</v>
      </c>
      <c r="AN103" s="200">
        <v>1</v>
      </c>
      <c r="AO103" s="200">
        <v>1</v>
      </c>
      <c r="AP103" s="200">
        <v>1</v>
      </c>
      <c r="AQ103" s="200">
        <v>1</v>
      </c>
      <c r="AR103" s="200">
        <v>1</v>
      </c>
      <c r="AS103" s="200">
        <v>1</v>
      </c>
      <c r="AT103" s="200">
        <v>1</v>
      </c>
      <c r="AU103" s="200">
        <v>1</v>
      </c>
      <c r="AV103" s="200">
        <v>1</v>
      </c>
      <c r="AW103" s="200">
        <v>1</v>
      </c>
      <c r="AX103" s="200">
        <v>1</v>
      </c>
      <c r="AY103" s="200">
        <v>1</v>
      </c>
      <c r="AZ103" s="200">
        <v>1</v>
      </c>
      <c r="BA103" s="200">
        <v>1</v>
      </c>
      <c r="BB103" s="200">
        <v>1</v>
      </c>
      <c r="BC103" s="200">
        <v>1</v>
      </c>
      <c r="BD103" s="200">
        <v>1</v>
      </c>
      <c r="BE103" s="200">
        <v>1</v>
      </c>
      <c r="BF103" s="200">
        <v>1</v>
      </c>
      <c r="BG103" s="200">
        <v>1</v>
      </c>
      <c r="BH103" s="200">
        <v>1</v>
      </c>
      <c r="BI103" s="200">
        <v>1</v>
      </c>
      <c r="BJ103" s="200">
        <v>1</v>
      </c>
      <c r="BK103" s="200">
        <v>1</v>
      </c>
      <c r="BL103" s="200">
        <v>1</v>
      </c>
      <c r="BM103" s="200">
        <v>1</v>
      </c>
      <c r="BN103" s="200">
        <v>1</v>
      </c>
      <c r="BO103" s="200">
        <v>1</v>
      </c>
      <c r="BP103" s="200">
        <v>1</v>
      </c>
      <c r="BQ103" s="200">
        <v>1</v>
      </c>
      <c r="BR103" s="200">
        <v>1</v>
      </c>
      <c r="BS103" s="200">
        <v>1</v>
      </c>
      <c r="BT103" s="200">
        <v>1</v>
      </c>
      <c r="BU103" s="200">
        <v>1</v>
      </c>
      <c r="BV103" s="200">
        <v>1</v>
      </c>
      <c r="BW103" s="200">
        <v>1</v>
      </c>
      <c r="BX103" s="200">
        <v>1</v>
      </c>
      <c r="BY103" s="200">
        <v>1</v>
      </c>
      <c r="BZ103" s="200">
        <v>1</v>
      </c>
      <c r="CA103" s="200">
        <v>1</v>
      </c>
      <c r="CB103" s="200">
        <v>1</v>
      </c>
      <c r="CC103" s="200">
        <v>1</v>
      </c>
      <c r="CD103" s="200">
        <v>1</v>
      </c>
      <c r="CE103" s="200">
        <v>1</v>
      </c>
      <c r="CF103" s="200">
        <v>1</v>
      </c>
      <c r="CG103" s="200">
        <v>1</v>
      </c>
      <c r="CH103" s="200">
        <v>1</v>
      </c>
      <c r="CI103" s="200">
        <v>1</v>
      </c>
      <c r="CJ103" s="200">
        <v>1</v>
      </c>
      <c r="CK103" s="200">
        <v>1</v>
      </c>
      <c r="CL103" s="200">
        <v>1</v>
      </c>
      <c r="CM103" s="200">
        <v>1</v>
      </c>
      <c r="CN103" s="200">
        <v>1</v>
      </c>
      <c r="CO103" s="200">
        <v>1</v>
      </c>
      <c r="CP103" s="200">
        <v>1</v>
      </c>
      <c r="CQ103" s="200">
        <v>1</v>
      </c>
      <c r="CR103" s="200">
        <v>1</v>
      </c>
      <c r="CS103" s="200">
        <v>1</v>
      </c>
      <c r="CT103" s="200">
        <v>1</v>
      </c>
      <c r="CU103" s="200">
        <v>1</v>
      </c>
      <c r="CV103" s="200">
        <v>1</v>
      </c>
      <c r="CW103" s="200">
        <v>1</v>
      </c>
      <c r="CX103" s="200">
        <v>1</v>
      </c>
      <c r="CY103" s="200">
        <v>1</v>
      </c>
      <c r="CZ103" s="200">
        <v>1</v>
      </c>
      <c r="DA103" s="200">
        <v>1</v>
      </c>
      <c r="DB103" s="200">
        <v>1</v>
      </c>
      <c r="DC103" s="200">
        <v>1</v>
      </c>
      <c r="DD103" s="200">
        <v>1</v>
      </c>
      <c r="DE103" s="200">
        <v>1</v>
      </c>
      <c r="DF103" s="224">
        <v>1</v>
      </c>
      <c r="DG103" s="227">
        <f>+AVERAGE(B103:DF105)</f>
        <v>1</v>
      </c>
      <c r="DH103" s="197">
        <v>1</v>
      </c>
      <c r="DI103" s="185">
        <v>1</v>
      </c>
      <c r="DJ103" s="203"/>
      <c r="DK103" s="197">
        <v>1</v>
      </c>
      <c r="DL103" s="197">
        <v>1</v>
      </c>
      <c r="DM103" s="185">
        <v>1</v>
      </c>
      <c r="DN103" s="197">
        <v>1</v>
      </c>
      <c r="DO103" s="185">
        <v>1</v>
      </c>
      <c r="DP103" s="203"/>
      <c r="DQ103" s="197">
        <v>1</v>
      </c>
      <c r="DR103" s="185">
        <v>1</v>
      </c>
      <c r="DS103" s="200">
        <v>1</v>
      </c>
      <c r="DT103" s="200">
        <v>1</v>
      </c>
      <c r="DU103" s="233"/>
      <c r="DV103" s="200">
        <v>1</v>
      </c>
      <c r="DW103" s="200">
        <v>1</v>
      </c>
      <c r="DX103" s="200">
        <v>1</v>
      </c>
      <c r="DY103" s="200">
        <v>1</v>
      </c>
      <c r="DZ103" s="200">
        <v>1</v>
      </c>
      <c r="EA103" s="200">
        <v>1</v>
      </c>
      <c r="EB103" s="200">
        <v>1</v>
      </c>
      <c r="EC103" s="200">
        <v>1</v>
      </c>
      <c r="ED103" s="200">
        <v>1</v>
      </c>
      <c r="EE103" s="200">
        <v>1</v>
      </c>
      <c r="EF103" s="200">
        <v>1</v>
      </c>
      <c r="EG103" s="200">
        <v>1</v>
      </c>
      <c r="EH103" s="200">
        <v>1</v>
      </c>
      <c r="EI103" s="200">
        <v>1</v>
      </c>
      <c r="EJ103" s="200">
        <v>1</v>
      </c>
      <c r="EK103" s="200">
        <v>1</v>
      </c>
      <c r="EL103" s="200">
        <v>1</v>
      </c>
      <c r="EM103" s="200">
        <v>1</v>
      </c>
      <c r="EN103" s="200">
        <v>1</v>
      </c>
      <c r="EO103" s="200">
        <v>1</v>
      </c>
      <c r="EP103" s="200">
        <v>1</v>
      </c>
      <c r="EQ103" s="200">
        <v>1</v>
      </c>
      <c r="ER103" s="200">
        <v>1</v>
      </c>
      <c r="ES103" s="200">
        <v>1</v>
      </c>
      <c r="ET103" s="200">
        <v>1</v>
      </c>
      <c r="EU103" s="200">
        <v>1</v>
      </c>
      <c r="EV103" s="200">
        <v>1</v>
      </c>
      <c r="EW103" s="200">
        <v>1</v>
      </c>
      <c r="EX103" s="200">
        <v>1</v>
      </c>
      <c r="EY103" s="200">
        <v>1</v>
      </c>
      <c r="EZ103" s="200">
        <v>1</v>
      </c>
      <c r="FA103" s="200">
        <v>1</v>
      </c>
      <c r="FB103" s="200">
        <v>1</v>
      </c>
      <c r="FC103" s="200">
        <v>1</v>
      </c>
      <c r="FD103" s="200">
        <v>1</v>
      </c>
      <c r="FE103" s="200">
        <v>1</v>
      </c>
      <c r="FF103" s="200">
        <v>1</v>
      </c>
      <c r="FG103" s="200">
        <v>1</v>
      </c>
      <c r="FH103" s="200">
        <v>1</v>
      </c>
      <c r="FI103" s="200">
        <v>1</v>
      </c>
      <c r="FJ103" s="200">
        <v>1</v>
      </c>
      <c r="FK103" s="200">
        <v>1</v>
      </c>
      <c r="FL103" s="227">
        <f>+AVERAGE(DH103:FK105)</f>
        <v>1</v>
      </c>
      <c r="FM103" s="185">
        <v>1</v>
      </c>
      <c r="FN103" s="197">
        <v>1</v>
      </c>
      <c r="FO103" s="197">
        <v>1</v>
      </c>
      <c r="FP103" s="197">
        <v>1</v>
      </c>
      <c r="FQ103" s="185">
        <v>1</v>
      </c>
      <c r="FR103" s="200">
        <v>1</v>
      </c>
      <c r="FS103" s="200">
        <v>1</v>
      </c>
      <c r="FT103" s="200">
        <v>1</v>
      </c>
      <c r="FU103" s="200">
        <v>1</v>
      </c>
      <c r="FV103" s="200">
        <v>1</v>
      </c>
      <c r="FW103" s="200">
        <v>1</v>
      </c>
      <c r="FX103" s="200">
        <v>1</v>
      </c>
      <c r="FY103" s="200">
        <v>1</v>
      </c>
      <c r="FZ103" s="200">
        <v>1</v>
      </c>
      <c r="GA103" s="200">
        <v>1</v>
      </c>
      <c r="GB103" s="200">
        <v>1</v>
      </c>
      <c r="GC103" s="200">
        <v>1</v>
      </c>
      <c r="GD103" s="200">
        <v>1</v>
      </c>
      <c r="GE103" s="200">
        <v>1</v>
      </c>
      <c r="GF103" s="200">
        <v>1</v>
      </c>
      <c r="GG103" s="200">
        <v>1</v>
      </c>
      <c r="GH103" s="200">
        <v>1</v>
      </c>
      <c r="GI103" s="200">
        <v>1</v>
      </c>
      <c r="GJ103" s="200">
        <v>1</v>
      </c>
      <c r="GK103" s="200">
        <v>1</v>
      </c>
      <c r="GL103" s="200">
        <v>1</v>
      </c>
      <c r="GM103" s="200">
        <v>1</v>
      </c>
      <c r="GN103" s="200">
        <v>1</v>
      </c>
      <c r="GO103" s="200">
        <v>1</v>
      </c>
      <c r="GP103" s="200">
        <v>1</v>
      </c>
      <c r="GQ103" s="200">
        <v>1</v>
      </c>
      <c r="GR103" s="200">
        <v>1</v>
      </c>
      <c r="GS103" s="200">
        <v>1</v>
      </c>
      <c r="GT103" s="200">
        <v>1</v>
      </c>
      <c r="GU103" s="200">
        <v>1</v>
      </c>
      <c r="GV103" s="200">
        <v>1</v>
      </c>
      <c r="GW103" s="200">
        <v>1</v>
      </c>
      <c r="GX103" s="200">
        <v>1</v>
      </c>
      <c r="GY103" s="200">
        <v>1</v>
      </c>
      <c r="GZ103" s="200">
        <v>1</v>
      </c>
      <c r="HA103" s="200">
        <v>1</v>
      </c>
      <c r="HB103" s="227">
        <f>+AVERAGE(FM103:HA105)</f>
        <v>1</v>
      </c>
    </row>
    <row r="104" spans="1:210" ht="15" customHeight="1">
      <c r="A104" s="58"/>
      <c r="B104" s="186"/>
      <c r="C104" s="174"/>
      <c r="D104" s="198"/>
      <c r="E104" s="171"/>
      <c r="F104" s="186"/>
      <c r="G104" s="174"/>
      <c r="H104" s="198"/>
      <c r="I104" s="198"/>
      <c r="J104" s="186"/>
      <c r="K104" s="174"/>
      <c r="L104" s="198"/>
      <c r="M104" s="174"/>
      <c r="N104" s="198"/>
      <c r="O104" s="186"/>
      <c r="P104" s="201"/>
      <c r="Q104" s="201"/>
      <c r="R104" s="17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1"/>
      <c r="BR104" s="201"/>
      <c r="BS104" s="201"/>
      <c r="BT104" s="201"/>
      <c r="BU104" s="201"/>
      <c r="BV104" s="201"/>
      <c r="BW104" s="201"/>
      <c r="BX104" s="201"/>
      <c r="BY104" s="201"/>
      <c r="BZ104" s="201"/>
      <c r="CA104" s="201"/>
      <c r="CB104" s="201"/>
      <c r="CC104" s="201"/>
      <c r="CD104" s="201"/>
      <c r="CE104" s="201"/>
      <c r="CF104" s="201"/>
      <c r="CG104" s="201"/>
      <c r="CH104" s="201"/>
      <c r="CI104" s="201"/>
      <c r="CJ104" s="201"/>
      <c r="CK104" s="201"/>
      <c r="CL104" s="201"/>
      <c r="CM104" s="201"/>
      <c r="CN104" s="201"/>
      <c r="CO104" s="201"/>
      <c r="CP104" s="201"/>
      <c r="CQ104" s="201"/>
      <c r="CR104" s="201"/>
      <c r="CS104" s="201"/>
      <c r="CT104" s="201"/>
      <c r="CU104" s="201"/>
      <c r="CV104" s="201"/>
      <c r="CW104" s="201"/>
      <c r="CX104" s="201"/>
      <c r="CY104" s="201"/>
      <c r="CZ104" s="201"/>
      <c r="DA104" s="201"/>
      <c r="DB104" s="201"/>
      <c r="DC104" s="201"/>
      <c r="DD104" s="201"/>
      <c r="DE104" s="201"/>
      <c r="DF104" s="225"/>
      <c r="DG104" s="228"/>
      <c r="DH104" s="198"/>
      <c r="DI104" s="186"/>
      <c r="DJ104" s="204"/>
      <c r="DK104" s="198"/>
      <c r="DL104" s="198"/>
      <c r="DM104" s="186"/>
      <c r="DN104" s="198"/>
      <c r="DO104" s="186"/>
      <c r="DP104" s="204"/>
      <c r="DQ104" s="198"/>
      <c r="DR104" s="186"/>
      <c r="DS104" s="201"/>
      <c r="DT104" s="201"/>
      <c r="DU104" s="234"/>
      <c r="DV104" s="201"/>
      <c r="DW104" s="201"/>
      <c r="DX104" s="201"/>
      <c r="DY104" s="201"/>
      <c r="DZ104" s="201"/>
      <c r="EA104" s="201"/>
      <c r="EB104" s="201"/>
      <c r="EC104" s="201"/>
      <c r="ED104" s="201"/>
      <c r="EE104" s="201"/>
      <c r="EF104" s="201"/>
      <c r="EG104" s="201"/>
      <c r="EH104" s="201"/>
      <c r="EI104" s="201"/>
      <c r="EJ104" s="201"/>
      <c r="EK104" s="201"/>
      <c r="EL104" s="201"/>
      <c r="EM104" s="201"/>
      <c r="EN104" s="201"/>
      <c r="EO104" s="201"/>
      <c r="EP104" s="201"/>
      <c r="EQ104" s="201"/>
      <c r="ER104" s="201"/>
      <c r="ES104" s="201"/>
      <c r="ET104" s="201"/>
      <c r="EU104" s="201"/>
      <c r="EV104" s="201"/>
      <c r="EW104" s="201"/>
      <c r="EX104" s="201"/>
      <c r="EY104" s="201"/>
      <c r="EZ104" s="201"/>
      <c r="FA104" s="201"/>
      <c r="FB104" s="201"/>
      <c r="FC104" s="201"/>
      <c r="FD104" s="201"/>
      <c r="FE104" s="201"/>
      <c r="FF104" s="201"/>
      <c r="FG104" s="201"/>
      <c r="FH104" s="201"/>
      <c r="FI104" s="201"/>
      <c r="FJ104" s="201"/>
      <c r="FK104" s="201"/>
      <c r="FL104" s="228"/>
      <c r="FM104" s="186"/>
      <c r="FN104" s="198"/>
      <c r="FO104" s="198"/>
      <c r="FP104" s="198"/>
      <c r="FQ104" s="186"/>
      <c r="FR104" s="201"/>
      <c r="FS104" s="201"/>
      <c r="FT104" s="201"/>
      <c r="FU104" s="201"/>
      <c r="FV104" s="201"/>
      <c r="FW104" s="201"/>
      <c r="FX104" s="201"/>
      <c r="FY104" s="201"/>
      <c r="FZ104" s="201"/>
      <c r="GA104" s="201"/>
      <c r="GB104" s="201"/>
      <c r="GC104" s="201"/>
      <c r="GD104" s="201"/>
      <c r="GE104" s="201"/>
      <c r="GF104" s="201"/>
      <c r="GG104" s="201"/>
      <c r="GH104" s="201"/>
      <c r="GI104" s="201"/>
      <c r="GJ104" s="201"/>
      <c r="GK104" s="201"/>
      <c r="GL104" s="201"/>
      <c r="GM104" s="201"/>
      <c r="GN104" s="201"/>
      <c r="GO104" s="201"/>
      <c r="GP104" s="201"/>
      <c r="GQ104" s="201"/>
      <c r="GR104" s="201"/>
      <c r="GS104" s="201"/>
      <c r="GT104" s="201"/>
      <c r="GU104" s="201"/>
      <c r="GV104" s="201"/>
      <c r="GW104" s="201"/>
      <c r="GX104" s="201"/>
      <c r="GY104" s="201"/>
      <c r="GZ104" s="201"/>
      <c r="HA104" s="201"/>
      <c r="HB104" s="228"/>
    </row>
    <row r="105" spans="1:210" ht="85" thickBot="1">
      <c r="A105" s="57" t="s">
        <v>690</v>
      </c>
      <c r="B105" s="187"/>
      <c r="C105" s="175"/>
      <c r="D105" s="199"/>
      <c r="E105" s="172"/>
      <c r="F105" s="187"/>
      <c r="G105" s="175"/>
      <c r="H105" s="199"/>
      <c r="I105" s="199"/>
      <c r="J105" s="187"/>
      <c r="K105" s="175"/>
      <c r="L105" s="199"/>
      <c r="M105" s="175"/>
      <c r="N105" s="199"/>
      <c r="O105" s="187"/>
      <c r="P105" s="202"/>
      <c r="Q105" s="202"/>
      <c r="R105" s="17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26"/>
      <c r="DG105" s="229"/>
      <c r="DH105" s="199"/>
      <c r="DI105" s="187"/>
      <c r="DJ105" s="205"/>
      <c r="DK105" s="199"/>
      <c r="DL105" s="199"/>
      <c r="DM105" s="187"/>
      <c r="DN105" s="199"/>
      <c r="DO105" s="187"/>
      <c r="DP105" s="205"/>
      <c r="DQ105" s="199"/>
      <c r="DR105" s="187"/>
      <c r="DS105" s="202"/>
      <c r="DT105" s="202"/>
      <c r="DU105" s="235"/>
      <c r="DV105" s="202"/>
      <c r="DW105" s="202"/>
      <c r="DX105" s="202"/>
      <c r="DY105" s="202"/>
      <c r="DZ105" s="202"/>
      <c r="EA105" s="202"/>
      <c r="EB105" s="202"/>
      <c r="EC105" s="202"/>
      <c r="ED105" s="202"/>
      <c r="EE105" s="202"/>
      <c r="EF105" s="202"/>
      <c r="EG105" s="202"/>
      <c r="EH105" s="202"/>
      <c r="EI105" s="202"/>
      <c r="EJ105" s="202"/>
      <c r="EK105" s="202"/>
      <c r="EL105" s="202"/>
      <c r="EM105" s="202"/>
      <c r="EN105" s="202"/>
      <c r="EO105" s="202"/>
      <c r="EP105" s="202"/>
      <c r="EQ105" s="202"/>
      <c r="ER105" s="202"/>
      <c r="ES105" s="202"/>
      <c r="ET105" s="202"/>
      <c r="EU105" s="202"/>
      <c r="EV105" s="202"/>
      <c r="EW105" s="202"/>
      <c r="EX105" s="202"/>
      <c r="EY105" s="202"/>
      <c r="EZ105" s="202"/>
      <c r="FA105" s="202"/>
      <c r="FB105" s="202"/>
      <c r="FC105" s="202"/>
      <c r="FD105" s="202"/>
      <c r="FE105" s="202"/>
      <c r="FF105" s="202"/>
      <c r="FG105" s="202"/>
      <c r="FH105" s="202"/>
      <c r="FI105" s="202"/>
      <c r="FJ105" s="202"/>
      <c r="FK105" s="202"/>
      <c r="FL105" s="229"/>
      <c r="FM105" s="187"/>
      <c r="FN105" s="199"/>
      <c r="FO105" s="199"/>
      <c r="FP105" s="199"/>
      <c r="FQ105" s="187"/>
      <c r="FR105" s="202"/>
      <c r="FS105" s="202"/>
      <c r="FT105" s="202"/>
      <c r="FU105" s="202"/>
      <c r="FV105" s="202"/>
      <c r="FW105" s="202"/>
      <c r="FX105" s="202"/>
      <c r="FY105" s="202"/>
      <c r="FZ105" s="202"/>
      <c r="GA105" s="202"/>
      <c r="GB105" s="202"/>
      <c r="GC105" s="202"/>
      <c r="GD105" s="202"/>
      <c r="GE105" s="202"/>
      <c r="GF105" s="202"/>
      <c r="GG105" s="202"/>
      <c r="GH105" s="202"/>
      <c r="GI105" s="202"/>
      <c r="GJ105" s="202"/>
      <c r="GK105" s="202"/>
      <c r="GL105" s="202"/>
      <c r="GM105" s="202"/>
      <c r="GN105" s="202"/>
      <c r="GO105" s="202"/>
      <c r="GP105" s="202"/>
      <c r="GQ105" s="202"/>
      <c r="GR105" s="202"/>
      <c r="GS105" s="202"/>
      <c r="GT105" s="202"/>
      <c r="GU105" s="202"/>
      <c r="GV105" s="202"/>
      <c r="GW105" s="202"/>
      <c r="GX105" s="202"/>
      <c r="GY105" s="202"/>
      <c r="GZ105" s="202"/>
      <c r="HA105" s="202"/>
      <c r="HB105" s="229"/>
    </row>
    <row r="106" spans="1:210" ht="16" customHeight="1" thickTop="1">
      <c r="A106" s="63" t="s">
        <v>689</v>
      </c>
      <c r="B106" s="185">
        <v>1</v>
      </c>
      <c r="C106" s="167"/>
      <c r="D106" s="197">
        <v>1</v>
      </c>
      <c r="E106" s="170"/>
      <c r="F106" s="185">
        <v>1</v>
      </c>
      <c r="G106" s="167"/>
      <c r="H106" s="197">
        <v>1</v>
      </c>
      <c r="I106" s="197">
        <v>1</v>
      </c>
      <c r="J106" s="185">
        <v>1</v>
      </c>
      <c r="K106" s="167"/>
      <c r="L106" s="197">
        <v>1</v>
      </c>
      <c r="M106" s="167"/>
      <c r="N106" s="197">
        <v>1</v>
      </c>
      <c r="O106" s="185">
        <v>1</v>
      </c>
      <c r="P106" s="197">
        <v>1</v>
      </c>
      <c r="Q106" s="197">
        <v>1</v>
      </c>
      <c r="R106" s="170"/>
      <c r="S106" s="197">
        <v>1</v>
      </c>
      <c r="T106" s="197">
        <v>1</v>
      </c>
      <c r="U106" s="197">
        <v>1</v>
      </c>
      <c r="V106" s="197">
        <v>1</v>
      </c>
      <c r="W106" s="197">
        <v>1</v>
      </c>
      <c r="X106" s="197">
        <v>1</v>
      </c>
      <c r="Y106" s="197">
        <v>1</v>
      </c>
      <c r="Z106" s="197">
        <v>1</v>
      </c>
      <c r="AA106" s="197">
        <v>1</v>
      </c>
      <c r="AB106" s="197">
        <v>1</v>
      </c>
      <c r="AC106" s="197">
        <v>1</v>
      </c>
      <c r="AD106" s="197">
        <v>1</v>
      </c>
      <c r="AE106" s="197">
        <v>1</v>
      </c>
      <c r="AF106" s="197">
        <v>1</v>
      </c>
      <c r="AG106" s="197">
        <v>1</v>
      </c>
      <c r="AH106" s="197">
        <v>1</v>
      </c>
      <c r="AI106" s="197">
        <v>1</v>
      </c>
      <c r="AJ106" s="197">
        <v>1</v>
      </c>
      <c r="AK106" s="197">
        <v>1</v>
      </c>
      <c r="AL106" s="197">
        <v>1</v>
      </c>
      <c r="AM106" s="197">
        <v>1</v>
      </c>
      <c r="AN106" s="197">
        <v>1</v>
      </c>
      <c r="AO106" s="197">
        <v>1</v>
      </c>
      <c r="AP106" s="197">
        <v>1</v>
      </c>
      <c r="AQ106" s="197">
        <v>1</v>
      </c>
      <c r="AR106" s="197">
        <v>1</v>
      </c>
      <c r="AS106" s="197">
        <v>1</v>
      </c>
      <c r="AT106" s="197">
        <v>1</v>
      </c>
      <c r="AU106" s="197">
        <v>1</v>
      </c>
      <c r="AV106" s="197">
        <v>1</v>
      </c>
      <c r="AW106" s="197">
        <v>1</v>
      </c>
      <c r="AX106" s="197">
        <v>1</v>
      </c>
      <c r="AY106" s="197">
        <v>1</v>
      </c>
      <c r="AZ106" s="197">
        <v>1</v>
      </c>
      <c r="BA106" s="197">
        <v>1</v>
      </c>
      <c r="BB106" s="197">
        <v>1</v>
      </c>
      <c r="BC106" s="197">
        <v>1</v>
      </c>
      <c r="BD106" s="197">
        <v>1</v>
      </c>
      <c r="BE106" s="197">
        <v>1</v>
      </c>
      <c r="BF106" s="197">
        <v>1</v>
      </c>
      <c r="BG106" s="197">
        <v>1</v>
      </c>
      <c r="BH106" s="197">
        <v>1</v>
      </c>
      <c r="BI106" s="197">
        <v>1</v>
      </c>
      <c r="BJ106" s="197">
        <v>1</v>
      </c>
      <c r="BK106" s="197">
        <v>1</v>
      </c>
      <c r="BL106" s="197">
        <v>1</v>
      </c>
      <c r="BM106" s="197">
        <v>1</v>
      </c>
      <c r="BN106" s="197">
        <v>1</v>
      </c>
      <c r="BO106" s="197">
        <v>1</v>
      </c>
      <c r="BP106" s="197">
        <v>1</v>
      </c>
      <c r="BQ106" s="197">
        <v>1</v>
      </c>
      <c r="BR106" s="197">
        <v>1</v>
      </c>
      <c r="BS106" s="197">
        <v>1</v>
      </c>
      <c r="BT106" s="197">
        <v>1</v>
      </c>
      <c r="BU106" s="197">
        <v>1</v>
      </c>
      <c r="BV106" s="197">
        <v>1</v>
      </c>
      <c r="BW106" s="197">
        <v>1</v>
      </c>
      <c r="BX106" s="197">
        <v>1</v>
      </c>
      <c r="BY106" s="197">
        <v>1</v>
      </c>
      <c r="BZ106" s="197">
        <v>1</v>
      </c>
      <c r="CA106" s="197">
        <v>1</v>
      </c>
      <c r="CB106" s="197">
        <v>1</v>
      </c>
      <c r="CC106" s="197">
        <v>1</v>
      </c>
      <c r="CD106" s="197">
        <v>1</v>
      </c>
      <c r="CE106" s="197">
        <v>1</v>
      </c>
      <c r="CF106" s="197">
        <v>1</v>
      </c>
      <c r="CG106" s="197">
        <v>1</v>
      </c>
      <c r="CH106" s="197">
        <v>1</v>
      </c>
      <c r="CI106" s="197">
        <v>1</v>
      </c>
      <c r="CJ106" s="197">
        <v>1</v>
      </c>
      <c r="CK106" s="197">
        <v>1</v>
      </c>
      <c r="CL106" s="197">
        <v>1</v>
      </c>
      <c r="CM106" s="197">
        <v>1</v>
      </c>
      <c r="CN106" s="197">
        <v>1</v>
      </c>
      <c r="CO106" s="197">
        <v>1</v>
      </c>
      <c r="CP106" s="197">
        <v>1</v>
      </c>
      <c r="CQ106" s="197">
        <v>1</v>
      </c>
      <c r="CR106" s="197">
        <v>1</v>
      </c>
      <c r="CS106" s="197">
        <v>1</v>
      </c>
      <c r="CT106" s="197">
        <v>1</v>
      </c>
      <c r="CU106" s="197">
        <v>1</v>
      </c>
      <c r="CV106" s="197">
        <v>1</v>
      </c>
      <c r="CW106" s="197">
        <v>1</v>
      </c>
      <c r="CX106" s="197">
        <v>1</v>
      </c>
      <c r="CY106" s="197">
        <v>1</v>
      </c>
      <c r="CZ106" s="197">
        <v>1</v>
      </c>
      <c r="DA106" s="197">
        <v>1</v>
      </c>
      <c r="DB106" s="197">
        <v>1</v>
      </c>
      <c r="DC106" s="197">
        <v>1</v>
      </c>
      <c r="DD106" s="197">
        <v>1</v>
      </c>
      <c r="DE106" s="197">
        <v>1</v>
      </c>
      <c r="DF106" s="230">
        <v>1</v>
      </c>
      <c r="DG106" s="227">
        <f>+AVERAGE(B106:DF108)</f>
        <v>1</v>
      </c>
      <c r="DH106" s="197">
        <v>1</v>
      </c>
      <c r="DI106" s="185">
        <v>1</v>
      </c>
      <c r="DJ106" s="203"/>
      <c r="DK106" s="197">
        <v>1</v>
      </c>
      <c r="DL106" s="197">
        <v>1</v>
      </c>
      <c r="DM106" s="185">
        <v>1</v>
      </c>
      <c r="DN106" s="197">
        <v>1</v>
      </c>
      <c r="DO106" s="185">
        <v>1</v>
      </c>
      <c r="DP106" s="203"/>
      <c r="DQ106" s="197">
        <v>1</v>
      </c>
      <c r="DR106" s="185">
        <v>1</v>
      </c>
      <c r="DS106" s="197">
        <v>1</v>
      </c>
      <c r="DT106" s="197">
        <v>1</v>
      </c>
      <c r="DU106" s="233"/>
      <c r="DV106" s="197">
        <v>1</v>
      </c>
      <c r="DW106" s="197">
        <v>1</v>
      </c>
      <c r="DX106" s="197">
        <v>1</v>
      </c>
      <c r="DY106" s="197">
        <v>1</v>
      </c>
      <c r="DZ106" s="197">
        <v>1</v>
      </c>
      <c r="EA106" s="197">
        <v>1</v>
      </c>
      <c r="EB106" s="197">
        <v>1</v>
      </c>
      <c r="EC106" s="197">
        <v>1</v>
      </c>
      <c r="ED106" s="197">
        <v>1</v>
      </c>
      <c r="EE106" s="197">
        <v>1</v>
      </c>
      <c r="EF106" s="197">
        <v>1</v>
      </c>
      <c r="EG106" s="197">
        <v>1</v>
      </c>
      <c r="EH106" s="197">
        <v>1</v>
      </c>
      <c r="EI106" s="197">
        <v>1</v>
      </c>
      <c r="EJ106" s="197">
        <v>1</v>
      </c>
      <c r="EK106" s="197">
        <v>1</v>
      </c>
      <c r="EL106" s="197">
        <v>1</v>
      </c>
      <c r="EM106" s="197">
        <v>1</v>
      </c>
      <c r="EN106" s="197">
        <v>1</v>
      </c>
      <c r="EO106" s="197">
        <v>1</v>
      </c>
      <c r="EP106" s="197">
        <v>1</v>
      </c>
      <c r="EQ106" s="197">
        <v>1</v>
      </c>
      <c r="ER106" s="197">
        <v>1</v>
      </c>
      <c r="ES106" s="197">
        <v>1</v>
      </c>
      <c r="ET106" s="197">
        <v>1</v>
      </c>
      <c r="EU106" s="197">
        <v>1</v>
      </c>
      <c r="EV106" s="197">
        <v>1</v>
      </c>
      <c r="EW106" s="197">
        <v>1</v>
      </c>
      <c r="EX106" s="197">
        <v>1</v>
      </c>
      <c r="EY106" s="197">
        <v>1</v>
      </c>
      <c r="EZ106" s="197">
        <v>1</v>
      </c>
      <c r="FA106" s="197">
        <v>1</v>
      </c>
      <c r="FB106" s="197">
        <v>1</v>
      </c>
      <c r="FC106" s="197">
        <v>1</v>
      </c>
      <c r="FD106" s="197">
        <v>1</v>
      </c>
      <c r="FE106" s="197">
        <v>1</v>
      </c>
      <c r="FF106" s="197">
        <v>1</v>
      </c>
      <c r="FG106" s="197">
        <v>1</v>
      </c>
      <c r="FH106" s="197">
        <v>1</v>
      </c>
      <c r="FI106" s="197">
        <v>1</v>
      </c>
      <c r="FJ106" s="197">
        <v>1</v>
      </c>
      <c r="FK106" s="197">
        <v>1</v>
      </c>
      <c r="FL106" s="227">
        <f>+AVERAGE(DH106:FK108)</f>
        <v>1</v>
      </c>
      <c r="FM106" s="185">
        <v>1</v>
      </c>
      <c r="FN106" s="197">
        <v>1</v>
      </c>
      <c r="FO106" s="197">
        <v>1</v>
      </c>
      <c r="FP106" s="197">
        <v>1</v>
      </c>
      <c r="FQ106" s="185">
        <v>1</v>
      </c>
      <c r="FR106" s="197">
        <v>1</v>
      </c>
      <c r="FS106" s="197">
        <v>1</v>
      </c>
      <c r="FT106" s="197">
        <v>1</v>
      </c>
      <c r="FU106" s="197">
        <v>1</v>
      </c>
      <c r="FV106" s="197">
        <v>1</v>
      </c>
      <c r="FW106" s="197">
        <v>1</v>
      </c>
      <c r="FX106" s="197">
        <v>1</v>
      </c>
      <c r="FY106" s="197">
        <v>1</v>
      </c>
      <c r="FZ106" s="197">
        <v>1</v>
      </c>
      <c r="GA106" s="197">
        <v>1</v>
      </c>
      <c r="GB106" s="197">
        <v>1</v>
      </c>
      <c r="GC106" s="197">
        <v>1</v>
      </c>
      <c r="GD106" s="197">
        <v>1</v>
      </c>
      <c r="GE106" s="197">
        <v>1</v>
      </c>
      <c r="GF106" s="197">
        <v>1</v>
      </c>
      <c r="GG106" s="197">
        <v>1</v>
      </c>
      <c r="GH106" s="197">
        <v>1</v>
      </c>
      <c r="GI106" s="197">
        <v>1</v>
      </c>
      <c r="GJ106" s="197">
        <v>1</v>
      </c>
      <c r="GK106" s="197">
        <v>1</v>
      </c>
      <c r="GL106" s="197">
        <v>1</v>
      </c>
      <c r="GM106" s="197">
        <v>1</v>
      </c>
      <c r="GN106" s="197">
        <v>1</v>
      </c>
      <c r="GO106" s="197">
        <v>1</v>
      </c>
      <c r="GP106" s="197">
        <v>1</v>
      </c>
      <c r="GQ106" s="197">
        <v>1</v>
      </c>
      <c r="GR106" s="197">
        <v>1</v>
      </c>
      <c r="GS106" s="197">
        <v>1</v>
      </c>
      <c r="GT106" s="197">
        <v>1</v>
      </c>
      <c r="GU106" s="197">
        <v>1</v>
      </c>
      <c r="GV106" s="197">
        <v>1</v>
      </c>
      <c r="GW106" s="197">
        <v>1</v>
      </c>
      <c r="GX106" s="197">
        <v>1</v>
      </c>
      <c r="GY106" s="197">
        <v>1</v>
      </c>
      <c r="GZ106" s="197">
        <v>1</v>
      </c>
      <c r="HA106" s="197">
        <v>1</v>
      </c>
      <c r="HB106" s="227">
        <f t="shared" ref="HB106" si="22">+AVERAGE(FM106:HA108)</f>
        <v>1</v>
      </c>
    </row>
    <row r="107" spans="1:210" ht="15" customHeight="1">
      <c r="A107" s="62"/>
      <c r="B107" s="186"/>
      <c r="C107" s="168"/>
      <c r="D107" s="198"/>
      <c r="E107" s="171"/>
      <c r="F107" s="186"/>
      <c r="G107" s="168"/>
      <c r="H107" s="198"/>
      <c r="I107" s="198"/>
      <c r="J107" s="186"/>
      <c r="K107" s="168"/>
      <c r="L107" s="198"/>
      <c r="M107" s="168"/>
      <c r="N107" s="198"/>
      <c r="O107" s="186"/>
      <c r="P107" s="198"/>
      <c r="Q107" s="198"/>
      <c r="R107" s="171"/>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231"/>
      <c r="DG107" s="228"/>
      <c r="DH107" s="198"/>
      <c r="DI107" s="186"/>
      <c r="DJ107" s="204"/>
      <c r="DK107" s="198"/>
      <c r="DL107" s="198"/>
      <c r="DM107" s="186"/>
      <c r="DN107" s="198"/>
      <c r="DO107" s="186"/>
      <c r="DP107" s="204"/>
      <c r="DQ107" s="198"/>
      <c r="DR107" s="186"/>
      <c r="DS107" s="198"/>
      <c r="DT107" s="198"/>
      <c r="DU107" s="234"/>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228"/>
      <c r="FM107" s="186"/>
      <c r="FN107" s="198"/>
      <c r="FO107" s="198"/>
      <c r="FP107" s="198"/>
      <c r="FQ107" s="186"/>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228"/>
    </row>
    <row r="108" spans="1:210" ht="127" thickBot="1">
      <c r="A108" s="61" t="s">
        <v>688</v>
      </c>
      <c r="B108" s="187"/>
      <c r="C108" s="169"/>
      <c r="D108" s="199"/>
      <c r="E108" s="172"/>
      <c r="F108" s="187"/>
      <c r="G108" s="169"/>
      <c r="H108" s="199"/>
      <c r="I108" s="199"/>
      <c r="J108" s="187"/>
      <c r="K108" s="169"/>
      <c r="L108" s="199"/>
      <c r="M108" s="169"/>
      <c r="N108" s="199"/>
      <c r="O108" s="187"/>
      <c r="P108" s="199"/>
      <c r="Q108" s="199"/>
      <c r="R108" s="172"/>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232"/>
      <c r="DG108" s="229"/>
      <c r="DH108" s="199"/>
      <c r="DI108" s="187"/>
      <c r="DJ108" s="205"/>
      <c r="DK108" s="199"/>
      <c r="DL108" s="199"/>
      <c r="DM108" s="187"/>
      <c r="DN108" s="199"/>
      <c r="DO108" s="187"/>
      <c r="DP108" s="205"/>
      <c r="DQ108" s="199"/>
      <c r="DR108" s="187"/>
      <c r="DS108" s="199"/>
      <c r="DT108" s="199"/>
      <c r="DU108" s="235"/>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229"/>
      <c r="FM108" s="187"/>
      <c r="FN108" s="199"/>
      <c r="FO108" s="199"/>
      <c r="FP108" s="199"/>
      <c r="FQ108" s="187"/>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229"/>
    </row>
    <row r="109" spans="1:210" ht="16" customHeight="1" thickTop="1">
      <c r="A109" s="59" t="s">
        <v>687</v>
      </c>
      <c r="B109" s="185">
        <v>1</v>
      </c>
      <c r="C109" s="167"/>
      <c r="D109" s="197">
        <v>1</v>
      </c>
      <c r="E109" s="170"/>
      <c r="F109" s="185">
        <v>1</v>
      </c>
      <c r="G109" s="167"/>
      <c r="H109" s="197">
        <v>1</v>
      </c>
      <c r="I109" s="197">
        <v>1</v>
      </c>
      <c r="J109" s="185">
        <v>1</v>
      </c>
      <c r="K109" s="167"/>
      <c r="L109" s="197">
        <v>1</v>
      </c>
      <c r="M109" s="167"/>
      <c r="N109" s="197">
        <v>1</v>
      </c>
      <c r="O109" s="185">
        <v>1</v>
      </c>
      <c r="P109" s="197">
        <v>1</v>
      </c>
      <c r="Q109" s="197">
        <v>1</v>
      </c>
      <c r="R109" s="170"/>
      <c r="S109" s="197">
        <v>1</v>
      </c>
      <c r="T109" s="197">
        <v>1</v>
      </c>
      <c r="U109" s="197">
        <v>1</v>
      </c>
      <c r="V109" s="197">
        <v>1</v>
      </c>
      <c r="W109" s="197">
        <v>1</v>
      </c>
      <c r="X109" s="197">
        <v>1</v>
      </c>
      <c r="Y109" s="197">
        <v>1</v>
      </c>
      <c r="Z109" s="197">
        <v>1</v>
      </c>
      <c r="AA109" s="197">
        <v>1</v>
      </c>
      <c r="AB109" s="197">
        <v>1</v>
      </c>
      <c r="AC109" s="197">
        <v>1</v>
      </c>
      <c r="AD109" s="197">
        <v>1</v>
      </c>
      <c r="AE109" s="197">
        <v>1</v>
      </c>
      <c r="AF109" s="197">
        <v>1</v>
      </c>
      <c r="AG109" s="197">
        <v>1</v>
      </c>
      <c r="AH109" s="197">
        <v>1</v>
      </c>
      <c r="AI109" s="197">
        <v>1</v>
      </c>
      <c r="AJ109" s="197">
        <v>1</v>
      </c>
      <c r="AK109" s="197">
        <v>1</v>
      </c>
      <c r="AL109" s="197">
        <v>1</v>
      </c>
      <c r="AM109" s="197">
        <v>1</v>
      </c>
      <c r="AN109" s="197">
        <v>1</v>
      </c>
      <c r="AO109" s="197">
        <v>1</v>
      </c>
      <c r="AP109" s="197">
        <v>1</v>
      </c>
      <c r="AQ109" s="197">
        <v>1</v>
      </c>
      <c r="AR109" s="197">
        <v>1</v>
      </c>
      <c r="AS109" s="197">
        <v>1</v>
      </c>
      <c r="AT109" s="197">
        <v>1</v>
      </c>
      <c r="AU109" s="197">
        <v>1</v>
      </c>
      <c r="AV109" s="197">
        <v>1</v>
      </c>
      <c r="AW109" s="197">
        <v>1</v>
      </c>
      <c r="AX109" s="197">
        <v>1</v>
      </c>
      <c r="AY109" s="197">
        <v>1</v>
      </c>
      <c r="AZ109" s="197">
        <v>1</v>
      </c>
      <c r="BA109" s="197">
        <v>1</v>
      </c>
      <c r="BB109" s="197">
        <v>1</v>
      </c>
      <c r="BC109" s="197">
        <v>1</v>
      </c>
      <c r="BD109" s="197">
        <v>1</v>
      </c>
      <c r="BE109" s="197">
        <v>1</v>
      </c>
      <c r="BF109" s="197">
        <v>1</v>
      </c>
      <c r="BG109" s="197">
        <v>1</v>
      </c>
      <c r="BH109" s="197">
        <v>1</v>
      </c>
      <c r="BI109" s="197">
        <v>1</v>
      </c>
      <c r="BJ109" s="197">
        <v>1</v>
      </c>
      <c r="BK109" s="197">
        <v>1</v>
      </c>
      <c r="BL109" s="197">
        <v>1</v>
      </c>
      <c r="BM109" s="197">
        <v>1</v>
      </c>
      <c r="BN109" s="197">
        <v>1</v>
      </c>
      <c r="BO109" s="197">
        <v>1</v>
      </c>
      <c r="BP109" s="197">
        <v>1</v>
      </c>
      <c r="BQ109" s="197">
        <v>1</v>
      </c>
      <c r="BR109" s="197">
        <v>1</v>
      </c>
      <c r="BS109" s="197">
        <v>1</v>
      </c>
      <c r="BT109" s="197">
        <v>1</v>
      </c>
      <c r="BU109" s="197">
        <v>1</v>
      </c>
      <c r="BV109" s="197">
        <v>1</v>
      </c>
      <c r="BW109" s="197">
        <v>1</v>
      </c>
      <c r="BX109" s="197">
        <v>1</v>
      </c>
      <c r="BY109" s="197">
        <v>1</v>
      </c>
      <c r="BZ109" s="197">
        <v>1</v>
      </c>
      <c r="CA109" s="197">
        <v>1</v>
      </c>
      <c r="CB109" s="197">
        <v>1</v>
      </c>
      <c r="CC109" s="197">
        <v>1</v>
      </c>
      <c r="CD109" s="197">
        <v>1</v>
      </c>
      <c r="CE109" s="197">
        <v>1</v>
      </c>
      <c r="CF109" s="197">
        <v>1</v>
      </c>
      <c r="CG109" s="197">
        <v>1</v>
      </c>
      <c r="CH109" s="197">
        <v>1</v>
      </c>
      <c r="CI109" s="197">
        <v>1</v>
      </c>
      <c r="CJ109" s="197">
        <v>1</v>
      </c>
      <c r="CK109" s="197">
        <v>1</v>
      </c>
      <c r="CL109" s="197">
        <v>1</v>
      </c>
      <c r="CM109" s="197">
        <v>1</v>
      </c>
      <c r="CN109" s="197">
        <v>1</v>
      </c>
      <c r="CO109" s="197">
        <v>1</v>
      </c>
      <c r="CP109" s="197">
        <v>1</v>
      </c>
      <c r="CQ109" s="197">
        <v>1</v>
      </c>
      <c r="CR109" s="197">
        <v>1</v>
      </c>
      <c r="CS109" s="197">
        <v>1</v>
      </c>
      <c r="CT109" s="197">
        <v>1</v>
      </c>
      <c r="CU109" s="197">
        <v>1</v>
      </c>
      <c r="CV109" s="197">
        <v>1</v>
      </c>
      <c r="CW109" s="197">
        <v>1</v>
      </c>
      <c r="CX109" s="197">
        <v>1</v>
      </c>
      <c r="CY109" s="197">
        <v>1</v>
      </c>
      <c r="CZ109" s="197">
        <v>1</v>
      </c>
      <c r="DA109" s="197">
        <v>1</v>
      </c>
      <c r="DB109" s="197">
        <v>1</v>
      </c>
      <c r="DC109" s="197">
        <v>1</v>
      </c>
      <c r="DD109" s="197">
        <v>1</v>
      </c>
      <c r="DE109" s="197">
        <v>1</v>
      </c>
      <c r="DF109" s="230">
        <v>1</v>
      </c>
      <c r="DG109" s="227">
        <f>+AVERAGE(B109:DF111)</f>
        <v>1</v>
      </c>
      <c r="DH109" s="197">
        <v>1</v>
      </c>
      <c r="DI109" s="185">
        <v>1</v>
      </c>
      <c r="DJ109" s="203"/>
      <c r="DK109" s="197">
        <v>1</v>
      </c>
      <c r="DL109" s="197">
        <v>1</v>
      </c>
      <c r="DM109" s="185">
        <v>1</v>
      </c>
      <c r="DN109" s="197">
        <v>1</v>
      </c>
      <c r="DO109" s="185">
        <v>1</v>
      </c>
      <c r="DP109" s="203"/>
      <c r="DQ109" s="197">
        <v>1</v>
      </c>
      <c r="DR109" s="185">
        <v>1</v>
      </c>
      <c r="DS109" s="197">
        <v>1</v>
      </c>
      <c r="DT109" s="197">
        <v>1</v>
      </c>
      <c r="DU109" s="233"/>
      <c r="DV109" s="197">
        <v>1</v>
      </c>
      <c r="DW109" s="197">
        <v>1</v>
      </c>
      <c r="DX109" s="197">
        <v>1</v>
      </c>
      <c r="DY109" s="197">
        <v>1</v>
      </c>
      <c r="DZ109" s="197">
        <v>1</v>
      </c>
      <c r="EA109" s="197">
        <v>1</v>
      </c>
      <c r="EB109" s="197">
        <v>1</v>
      </c>
      <c r="EC109" s="197">
        <v>1</v>
      </c>
      <c r="ED109" s="197">
        <v>1</v>
      </c>
      <c r="EE109" s="197">
        <v>1</v>
      </c>
      <c r="EF109" s="197">
        <v>1</v>
      </c>
      <c r="EG109" s="197">
        <v>1</v>
      </c>
      <c r="EH109" s="197">
        <v>1</v>
      </c>
      <c r="EI109" s="197">
        <v>1</v>
      </c>
      <c r="EJ109" s="197">
        <v>1</v>
      </c>
      <c r="EK109" s="197">
        <v>1</v>
      </c>
      <c r="EL109" s="197">
        <v>1</v>
      </c>
      <c r="EM109" s="197">
        <v>1</v>
      </c>
      <c r="EN109" s="197">
        <v>1</v>
      </c>
      <c r="EO109" s="197">
        <v>1</v>
      </c>
      <c r="EP109" s="197">
        <v>1</v>
      </c>
      <c r="EQ109" s="197">
        <v>1</v>
      </c>
      <c r="ER109" s="197">
        <v>1</v>
      </c>
      <c r="ES109" s="197">
        <v>1</v>
      </c>
      <c r="ET109" s="197">
        <v>1</v>
      </c>
      <c r="EU109" s="197">
        <v>1</v>
      </c>
      <c r="EV109" s="197">
        <v>1</v>
      </c>
      <c r="EW109" s="197">
        <v>1</v>
      </c>
      <c r="EX109" s="197">
        <v>1</v>
      </c>
      <c r="EY109" s="197">
        <v>1</v>
      </c>
      <c r="EZ109" s="197">
        <v>1</v>
      </c>
      <c r="FA109" s="197">
        <v>1</v>
      </c>
      <c r="FB109" s="197">
        <v>1</v>
      </c>
      <c r="FC109" s="197">
        <v>1</v>
      </c>
      <c r="FD109" s="197">
        <v>1</v>
      </c>
      <c r="FE109" s="197">
        <v>1</v>
      </c>
      <c r="FF109" s="197">
        <v>1</v>
      </c>
      <c r="FG109" s="197">
        <v>1</v>
      </c>
      <c r="FH109" s="197">
        <v>1</v>
      </c>
      <c r="FI109" s="197">
        <v>1</v>
      </c>
      <c r="FJ109" s="197">
        <v>1</v>
      </c>
      <c r="FK109" s="197">
        <v>1</v>
      </c>
      <c r="FL109" s="227">
        <f>+AVERAGE(DH109:FK111)</f>
        <v>1</v>
      </c>
      <c r="FM109" s="185">
        <v>1</v>
      </c>
      <c r="FN109" s="197">
        <v>1</v>
      </c>
      <c r="FO109" s="197">
        <v>1</v>
      </c>
      <c r="FP109" s="197">
        <v>1</v>
      </c>
      <c r="FQ109" s="185">
        <v>1</v>
      </c>
      <c r="FR109" s="197">
        <v>1</v>
      </c>
      <c r="FS109" s="197">
        <v>1</v>
      </c>
      <c r="FT109" s="197">
        <v>1</v>
      </c>
      <c r="FU109" s="197">
        <v>1</v>
      </c>
      <c r="FV109" s="197">
        <v>1</v>
      </c>
      <c r="FW109" s="197">
        <v>1</v>
      </c>
      <c r="FX109" s="197">
        <v>1</v>
      </c>
      <c r="FY109" s="197">
        <v>1</v>
      </c>
      <c r="FZ109" s="197">
        <v>1</v>
      </c>
      <c r="GA109" s="197">
        <v>1</v>
      </c>
      <c r="GB109" s="197">
        <v>1</v>
      </c>
      <c r="GC109" s="197">
        <v>1</v>
      </c>
      <c r="GD109" s="197">
        <v>1</v>
      </c>
      <c r="GE109" s="197">
        <v>1</v>
      </c>
      <c r="GF109" s="197">
        <v>1</v>
      </c>
      <c r="GG109" s="197">
        <v>1</v>
      </c>
      <c r="GH109" s="197">
        <v>1</v>
      </c>
      <c r="GI109" s="197">
        <v>1</v>
      </c>
      <c r="GJ109" s="197">
        <v>1</v>
      </c>
      <c r="GK109" s="197">
        <v>1</v>
      </c>
      <c r="GL109" s="197">
        <v>1</v>
      </c>
      <c r="GM109" s="197">
        <v>1</v>
      </c>
      <c r="GN109" s="197">
        <v>1</v>
      </c>
      <c r="GO109" s="197">
        <v>1</v>
      </c>
      <c r="GP109" s="197">
        <v>1</v>
      </c>
      <c r="GQ109" s="197">
        <v>1</v>
      </c>
      <c r="GR109" s="197">
        <v>1</v>
      </c>
      <c r="GS109" s="197">
        <v>1</v>
      </c>
      <c r="GT109" s="197">
        <v>1</v>
      </c>
      <c r="GU109" s="197">
        <v>1</v>
      </c>
      <c r="GV109" s="197">
        <v>1</v>
      </c>
      <c r="GW109" s="197">
        <v>1</v>
      </c>
      <c r="GX109" s="197">
        <v>1</v>
      </c>
      <c r="GY109" s="197">
        <v>1</v>
      </c>
      <c r="GZ109" s="197">
        <v>1</v>
      </c>
      <c r="HA109" s="197">
        <v>1</v>
      </c>
      <c r="HB109" s="227">
        <f t="shared" ref="HB109" si="23">+AVERAGE(FM109:HA111)</f>
        <v>1</v>
      </c>
    </row>
    <row r="110" spans="1:210" ht="15" customHeight="1">
      <c r="A110" s="60" t="s">
        <v>25</v>
      </c>
      <c r="B110" s="186"/>
      <c r="C110" s="168"/>
      <c r="D110" s="198"/>
      <c r="E110" s="171"/>
      <c r="F110" s="186"/>
      <c r="G110" s="168"/>
      <c r="H110" s="198"/>
      <c r="I110" s="198"/>
      <c r="J110" s="186"/>
      <c r="K110" s="168"/>
      <c r="L110" s="198"/>
      <c r="M110" s="168"/>
      <c r="N110" s="198"/>
      <c r="O110" s="186"/>
      <c r="P110" s="198"/>
      <c r="Q110" s="198"/>
      <c r="R110" s="171"/>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231"/>
      <c r="DG110" s="228"/>
      <c r="DH110" s="198"/>
      <c r="DI110" s="186"/>
      <c r="DJ110" s="204"/>
      <c r="DK110" s="198"/>
      <c r="DL110" s="198"/>
      <c r="DM110" s="186"/>
      <c r="DN110" s="198"/>
      <c r="DO110" s="186"/>
      <c r="DP110" s="204"/>
      <c r="DQ110" s="198"/>
      <c r="DR110" s="186"/>
      <c r="DS110" s="198"/>
      <c r="DT110" s="198"/>
      <c r="DU110" s="234"/>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228"/>
      <c r="FM110" s="186"/>
      <c r="FN110" s="198"/>
      <c r="FO110" s="198"/>
      <c r="FP110" s="198"/>
      <c r="FQ110" s="186"/>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228"/>
    </row>
    <row r="111" spans="1:210" ht="29" thickBot="1">
      <c r="A111" s="57" t="s">
        <v>686</v>
      </c>
      <c r="B111" s="187"/>
      <c r="C111" s="169"/>
      <c r="D111" s="199"/>
      <c r="E111" s="172"/>
      <c r="F111" s="187"/>
      <c r="G111" s="169"/>
      <c r="H111" s="199"/>
      <c r="I111" s="199"/>
      <c r="J111" s="187"/>
      <c r="K111" s="169"/>
      <c r="L111" s="199"/>
      <c r="M111" s="169"/>
      <c r="N111" s="199"/>
      <c r="O111" s="187"/>
      <c r="P111" s="199"/>
      <c r="Q111" s="199"/>
      <c r="R111" s="172"/>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c r="CP111" s="199"/>
      <c r="CQ111" s="199"/>
      <c r="CR111" s="199"/>
      <c r="CS111" s="199"/>
      <c r="CT111" s="199"/>
      <c r="CU111" s="199"/>
      <c r="CV111" s="199"/>
      <c r="CW111" s="199"/>
      <c r="CX111" s="199"/>
      <c r="CY111" s="199"/>
      <c r="CZ111" s="199"/>
      <c r="DA111" s="199"/>
      <c r="DB111" s="199"/>
      <c r="DC111" s="199"/>
      <c r="DD111" s="199"/>
      <c r="DE111" s="199"/>
      <c r="DF111" s="232"/>
      <c r="DG111" s="229"/>
      <c r="DH111" s="199"/>
      <c r="DI111" s="187"/>
      <c r="DJ111" s="205"/>
      <c r="DK111" s="199"/>
      <c r="DL111" s="199"/>
      <c r="DM111" s="187"/>
      <c r="DN111" s="199"/>
      <c r="DO111" s="187"/>
      <c r="DP111" s="205"/>
      <c r="DQ111" s="199"/>
      <c r="DR111" s="187"/>
      <c r="DS111" s="199"/>
      <c r="DT111" s="199"/>
      <c r="DU111" s="235"/>
      <c r="DV111" s="199"/>
      <c r="DW111" s="199"/>
      <c r="DX111" s="199"/>
      <c r="DY111" s="199"/>
      <c r="DZ111" s="199"/>
      <c r="EA111" s="199"/>
      <c r="EB111" s="199"/>
      <c r="EC111" s="199"/>
      <c r="ED111" s="199"/>
      <c r="EE111" s="199"/>
      <c r="EF111" s="199"/>
      <c r="EG111" s="199"/>
      <c r="EH111" s="199"/>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229"/>
      <c r="FM111" s="187"/>
      <c r="FN111" s="199"/>
      <c r="FO111" s="199"/>
      <c r="FP111" s="199"/>
      <c r="FQ111" s="187"/>
      <c r="FR111" s="199"/>
      <c r="FS111" s="199"/>
      <c r="FT111" s="199"/>
      <c r="FU111" s="199"/>
      <c r="FV111" s="199"/>
      <c r="FW111" s="199"/>
      <c r="FX111" s="199"/>
      <c r="FY111" s="199"/>
      <c r="FZ111" s="199"/>
      <c r="GA111" s="199"/>
      <c r="GB111" s="199"/>
      <c r="GC111" s="199"/>
      <c r="GD111" s="199"/>
      <c r="GE111" s="199"/>
      <c r="GF111" s="199"/>
      <c r="GG111" s="199"/>
      <c r="GH111" s="199"/>
      <c r="GI111" s="199"/>
      <c r="GJ111" s="199"/>
      <c r="GK111" s="199"/>
      <c r="GL111" s="199"/>
      <c r="GM111" s="199"/>
      <c r="GN111" s="199"/>
      <c r="GO111" s="199"/>
      <c r="GP111" s="199"/>
      <c r="GQ111" s="199"/>
      <c r="GR111" s="199"/>
      <c r="GS111" s="199"/>
      <c r="GT111" s="199"/>
      <c r="GU111" s="199"/>
      <c r="GV111" s="199"/>
      <c r="GW111" s="199"/>
      <c r="GX111" s="199"/>
      <c r="GY111" s="199"/>
      <c r="GZ111" s="199"/>
      <c r="HA111" s="199"/>
      <c r="HB111" s="229"/>
    </row>
    <row r="112" spans="1:210" ht="16" customHeight="1" thickTop="1">
      <c r="A112" s="59" t="s">
        <v>685</v>
      </c>
      <c r="B112" s="185">
        <v>1</v>
      </c>
      <c r="C112" s="167"/>
      <c r="D112" s="197">
        <v>1</v>
      </c>
      <c r="E112" s="170"/>
      <c r="F112" s="185">
        <v>1</v>
      </c>
      <c r="G112" s="167"/>
      <c r="H112" s="197">
        <v>1</v>
      </c>
      <c r="I112" s="197">
        <v>1</v>
      </c>
      <c r="J112" s="185">
        <v>1</v>
      </c>
      <c r="K112" s="167"/>
      <c r="L112" s="197">
        <v>1</v>
      </c>
      <c r="M112" s="167"/>
      <c r="N112" s="197">
        <v>1</v>
      </c>
      <c r="O112" s="185">
        <v>1</v>
      </c>
      <c r="P112" s="197">
        <v>1</v>
      </c>
      <c r="Q112" s="197">
        <v>1</v>
      </c>
      <c r="R112" s="170"/>
      <c r="S112" s="197">
        <v>1</v>
      </c>
      <c r="T112" s="197">
        <v>1</v>
      </c>
      <c r="U112" s="197">
        <v>1</v>
      </c>
      <c r="V112" s="197">
        <v>1</v>
      </c>
      <c r="W112" s="197">
        <v>1</v>
      </c>
      <c r="X112" s="197">
        <v>1</v>
      </c>
      <c r="Y112" s="197">
        <v>1</v>
      </c>
      <c r="Z112" s="197">
        <v>1</v>
      </c>
      <c r="AA112" s="197">
        <v>1</v>
      </c>
      <c r="AB112" s="197">
        <v>1</v>
      </c>
      <c r="AC112" s="197">
        <v>1</v>
      </c>
      <c r="AD112" s="197">
        <v>1</v>
      </c>
      <c r="AE112" s="197">
        <v>1</v>
      </c>
      <c r="AF112" s="197">
        <v>1</v>
      </c>
      <c r="AG112" s="197">
        <v>1</v>
      </c>
      <c r="AH112" s="197">
        <v>1</v>
      </c>
      <c r="AI112" s="197">
        <v>1</v>
      </c>
      <c r="AJ112" s="197">
        <v>1</v>
      </c>
      <c r="AK112" s="197">
        <v>1</v>
      </c>
      <c r="AL112" s="197">
        <v>1</v>
      </c>
      <c r="AM112" s="197">
        <v>1</v>
      </c>
      <c r="AN112" s="197">
        <v>1</v>
      </c>
      <c r="AO112" s="197">
        <v>1</v>
      </c>
      <c r="AP112" s="197">
        <v>1</v>
      </c>
      <c r="AQ112" s="197">
        <v>1</v>
      </c>
      <c r="AR112" s="197">
        <v>1</v>
      </c>
      <c r="AS112" s="197">
        <v>1</v>
      </c>
      <c r="AT112" s="197">
        <v>1</v>
      </c>
      <c r="AU112" s="197">
        <v>1</v>
      </c>
      <c r="AV112" s="197">
        <v>1</v>
      </c>
      <c r="AW112" s="197">
        <v>1</v>
      </c>
      <c r="AX112" s="197">
        <v>1</v>
      </c>
      <c r="AY112" s="197">
        <v>1</v>
      </c>
      <c r="AZ112" s="197">
        <v>1</v>
      </c>
      <c r="BA112" s="197">
        <v>1</v>
      </c>
      <c r="BB112" s="197">
        <v>1</v>
      </c>
      <c r="BC112" s="197">
        <v>1</v>
      </c>
      <c r="BD112" s="197">
        <v>1</v>
      </c>
      <c r="BE112" s="197">
        <v>1</v>
      </c>
      <c r="BF112" s="197">
        <v>1</v>
      </c>
      <c r="BG112" s="197">
        <v>1</v>
      </c>
      <c r="BH112" s="197">
        <v>1</v>
      </c>
      <c r="BI112" s="197">
        <v>1</v>
      </c>
      <c r="BJ112" s="197">
        <v>1</v>
      </c>
      <c r="BK112" s="197">
        <v>1</v>
      </c>
      <c r="BL112" s="197">
        <v>1</v>
      </c>
      <c r="BM112" s="197">
        <v>1</v>
      </c>
      <c r="BN112" s="197">
        <v>1</v>
      </c>
      <c r="BO112" s="197">
        <v>1</v>
      </c>
      <c r="BP112" s="197">
        <v>1</v>
      </c>
      <c r="BQ112" s="197">
        <v>1</v>
      </c>
      <c r="BR112" s="197">
        <v>1</v>
      </c>
      <c r="BS112" s="197">
        <v>1</v>
      </c>
      <c r="BT112" s="197">
        <v>1</v>
      </c>
      <c r="BU112" s="197">
        <v>1</v>
      </c>
      <c r="BV112" s="197">
        <v>1</v>
      </c>
      <c r="BW112" s="197">
        <v>1</v>
      </c>
      <c r="BX112" s="197">
        <v>1</v>
      </c>
      <c r="BY112" s="197">
        <v>1</v>
      </c>
      <c r="BZ112" s="197">
        <v>1</v>
      </c>
      <c r="CA112" s="197">
        <v>1</v>
      </c>
      <c r="CB112" s="197">
        <v>1</v>
      </c>
      <c r="CC112" s="197">
        <v>1</v>
      </c>
      <c r="CD112" s="197">
        <v>1</v>
      </c>
      <c r="CE112" s="197">
        <v>1</v>
      </c>
      <c r="CF112" s="197">
        <v>1</v>
      </c>
      <c r="CG112" s="197">
        <v>1</v>
      </c>
      <c r="CH112" s="197">
        <v>1</v>
      </c>
      <c r="CI112" s="197">
        <v>1</v>
      </c>
      <c r="CJ112" s="197">
        <v>1</v>
      </c>
      <c r="CK112" s="197">
        <v>1</v>
      </c>
      <c r="CL112" s="197">
        <v>1</v>
      </c>
      <c r="CM112" s="197">
        <v>1</v>
      </c>
      <c r="CN112" s="197">
        <v>1</v>
      </c>
      <c r="CO112" s="197">
        <v>1</v>
      </c>
      <c r="CP112" s="197">
        <v>1</v>
      </c>
      <c r="CQ112" s="197">
        <v>1</v>
      </c>
      <c r="CR112" s="197">
        <v>1</v>
      </c>
      <c r="CS112" s="197">
        <v>1</v>
      </c>
      <c r="CT112" s="197">
        <v>1</v>
      </c>
      <c r="CU112" s="197">
        <v>1</v>
      </c>
      <c r="CV112" s="197">
        <v>1</v>
      </c>
      <c r="CW112" s="197">
        <v>1</v>
      </c>
      <c r="CX112" s="197">
        <v>1</v>
      </c>
      <c r="CY112" s="197">
        <v>1</v>
      </c>
      <c r="CZ112" s="197">
        <v>1</v>
      </c>
      <c r="DA112" s="197">
        <v>1</v>
      </c>
      <c r="DB112" s="197">
        <v>1</v>
      </c>
      <c r="DC112" s="197">
        <v>1</v>
      </c>
      <c r="DD112" s="197">
        <v>1</v>
      </c>
      <c r="DE112" s="197">
        <v>1</v>
      </c>
      <c r="DF112" s="230">
        <v>1</v>
      </c>
      <c r="DG112" s="227">
        <f>+AVERAGE(B112:DF114)</f>
        <v>1</v>
      </c>
      <c r="DH112" s="197">
        <v>1</v>
      </c>
      <c r="DI112" s="185">
        <v>1</v>
      </c>
      <c r="DJ112" s="203"/>
      <c r="DK112" s="197">
        <v>1</v>
      </c>
      <c r="DL112" s="197">
        <v>1</v>
      </c>
      <c r="DM112" s="185">
        <v>1</v>
      </c>
      <c r="DN112" s="197">
        <v>1</v>
      </c>
      <c r="DO112" s="185">
        <v>1</v>
      </c>
      <c r="DP112" s="203"/>
      <c r="DQ112" s="197">
        <v>1</v>
      </c>
      <c r="DR112" s="185">
        <v>1</v>
      </c>
      <c r="DS112" s="197">
        <v>1</v>
      </c>
      <c r="DT112" s="197">
        <v>1</v>
      </c>
      <c r="DU112" s="233"/>
      <c r="DV112" s="197">
        <v>1</v>
      </c>
      <c r="DW112" s="197">
        <v>1</v>
      </c>
      <c r="DX112" s="197">
        <v>1</v>
      </c>
      <c r="DY112" s="197">
        <v>1</v>
      </c>
      <c r="DZ112" s="197">
        <v>1</v>
      </c>
      <c r="EA112" s="197">
        <v>1</v>
      </c>
      <c r="EB112" s="197">
        <v>1</v>
      </c>
      <c r="EC112" s="197">
        <v>1</v>
      </c>
      <c r="ED112" s="197">
        <v>1</v>
      </c>
      <c r="EE112" s="197">
        <v>1</v>
      </c>
      <c r="EF112" s="197">
        <v>1</v>
      </c>
      <c r="EG112" s="197">
        <v>1</v>
      </c>
      <c r="EH112" s="197">
        <v>1</v>
      </c>
      <c r="EI112" s="197">
        <v>1</v>
      </c>
      <c r="EJ112" s="197">
        <v>1</v>
      </c>
      <c r="EK112" s="197">
        <v>1</v>
      </c>
      <c r="EL112" s="197">
        <v>1</v>
      </c>
      <c r="EM112" s="197">
        <v>1</v>
      </c>
      <c r="EN112" s="197">
        <v>1</v>
      </c>
      <c r="EO112" s="197">
        <v>1</v>
      </c>
      <c r="EP112" s="197">
        <v>1</v>
      </c>
      <c r="EQ112" s="197">
        <v>1</v>
      </c>
      <c r="ER112" s="197">
        <v>1</v>
      </c>
      <c r="ES112" s="197">
        <v>1</v>
      </c>
      <c r="ET112" s="197">
        <v>1</v>
      </c>
      <c r="EU112" s="197">
        <v>1</v>
      </c>
      <c r="EV112" s="197">
        <v>1</v>
      </c>
      <c r="EW112" s="197">
        <v>1</v>
      </c>
      <c r="EX112" s="197">
        <v>1</v>
      </c>
      <c r="EY112" s="197">
        <v>1</v>
      </c>
      <c r="EZ112" s="197">
        <v>1</v>
      </c>
      <c r="FA112" s="197">
        <v>1</v>
      </c>
      <c r="FB112" s="197">
        <v>1</v>
      </c>
      <c r="FC112" s="197">
        <v>1</v>
      </c>
      <c r="FD112" s="197">
        <v>1</v>
      </c>
      <c r="FE112" s="197">
        <v>1</v>
      </c>
      <c r="FF112" s="197">
        <v>1</v>
      </c>
      <c r="FG112" s="197">
        <v>1</v>
      </c>
      <c r="FH112" s="197">
        <v>1</v>
      </c>
      <c r="FI112" s="197">
        <v>1</v>
      </c>
      <c r="FJ112" s="197">
        <v>1</v>
      </c>
      <c r="FK112" s="197">
        <v>1</v>
      </c>
      <c r="FL112" s="227">
        <f>+AVERAGE(DH112:FK114)</f>
        <v>1</v>
      </c>
      <c r="FM112" s="185">
        <v>1</v>
      </c>
      <c r="FN112" s="197">
        <v>1</v>
      </c>
      <c r="FO112" s="197">
        <v>1</v>
      </c>
      <c r="FP112" s="197">
        <v>1</v>
      </c>
      <c r="FQ112" s="185">
        <v>1</v>
      </c>
      <c r="FR112" s="197">
        <v>1</v>
      </c>
      <c r="FS112" s="197">
        <v>1</v>
      </c>
      <c r="FT112" s="197">
        <v>1</v>
      </c>
      <c r="FU112" s="197">
        <v>1</v>
      </c>
      <c r="FV112" s="197">
        <v>1</v>
      </c>
      <c r="FW112" s="197">
        <v>1</v>
      </c>
      <c r="FX112" s="197">
        <v>1</v>
      </c>
      <c r="FY112" s="197">
        <v>1</v>
      </c>
      <c r="FZ112" s="197">
        <v>1</v>
      </c>
      <c r="GA112" s="197">
        <v>1</v>
      </c>
      <c r="GB112" s="197">
        <v>1</v>
      </c>
      <c r="GC112" s="197">
        <v>1</v>
      </c>
      <c r="GD112" s="197">
        <v>1</v>
      </c>
      <c r="GE112" s="197">
        <v>1</v>
      </c>
      <c r="GF112" s="197">
        <v>1</v>
      </c>
      <c r="GG112" s="197">
        <v>1</v>
      </c>
      <c r="GH112" s="197">
        <v>1</v>
      </c>
      <c r="GI112" s="197">
        <v>1</v>
      </c>
      <c r="GJ112" s="197">
        <v>1</v>
      </c>
      <c r="GK112" s="197">
        <v>1</v>
      </c>
      <c r="GL112" s="197">
        <v>1</v>
      </c>
      <c r="GM112" s="197">
        <v>1</v>
      </c>
      <c r="GN112" s="197">
        <v>1</v>
      </c>
      <c r="GO112" s="197">
        <v>1</v>
      </c>
      <c r="GP112" s="197">
        <v>1</v>
      </c>
      <c r="GQ112" s="197">
        <v>1</v>
      </c>
      <c r="GR112" s="197">
        <v>1</v>
      </c>
      <c r="GS112" s="197">
        <v>1</v>
      </c>
      <c r="GT112" s="197">
        <v>1</v>
      </c>
      <c r="GU112" s="197">
        <v>1</v>
      </c>
      <c r="GV112" s="197">
        <v>1</v>
      </c>
      <c r="GW112" s="197">
        <v>1</v>
      </c>
      <c r="GX112" s="197">
        <v>1</v>
      </c>
      <c r="GY112" s="197">
        <v>1</v>
      </c>
      <c r="GZ112" s="197">
        <v>1</v>
      </c>
      <c r="HA112" s="197">
        <v>1</v>
      </c>
      <c r="HB112" s="227">
        <f t="shared" ref="HB112" si="24">+AVERAGE(FM112:HA114)</f>
        <v>1</v>
      </c>
    </row>
    <row r="113" spans="1:210" ht="15" customHeight="1">
      <c r="A113" s="60" t="s">
        <v>25</v>
      </c>
      <c r="B113" s="186"/>
      <c r="C113" s="168"/>
      <c r="D113" s="198"/>
      <c r="E113" s="171"/>
      <c r="F113" s="186"/>
      <c r="G113" s="168"/>
      <c r="H113" s="198"/>
      <c r="I113" s="198"/>
      <c r="J113" s="186"/>
      <c r="K113" s="168"/>
      <c r="L113" s="198"/>
      <c r="M113" s="168"/>
      <c r="N113" s="198"/>
      <c r="O113" s="186"/>
      <c r="P113" s="198"/>
      <c r="Q113" s="198"/>
      <c r="R113" s="171"/>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231"/>
      <c r="DG113" s="228"/>
      <c r="DH113" s="198"/>
      <c r="DI113" s="186"/>
      <c r="DJ113" s="204"/>
      <c r="DK113" s="198"/>
      <c r="DL113" s="198"/>
      <c r="DM113" s="186"/>
      <c r="DN113" s="198"/>
      <c r="DO113" s="186"/>
      <c r="DP113" s="204"/>
      <c r="DQ113" s="198"/>
      <c r="DR113" s="186"/>
      <c r="DS113" s="198"/>
      <c r="DT113" s="198"/>
      <c r="DU113" s="234"/>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228"/>
      <c r="FM113" s="186"/>
      <c r="FN113" s="198"/>
      <c r="FO113" s="198"/>
      <c r="FP113" s="198"/>
      <c r="FQ113" s="186"/>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228"/>
    </row>
    <row r="114" spans="1:210" ht="43" thickBot="1">
      <c r="A114" s="57" t="s">
        <v>684</v>
      </c>
      <c r="B114" s="187"/>
      <c r="C114" s="169"/>
      <c r="D114" s="199"/>
      <c r="E114" s="172"/>
      <c r="F114" s="187"/>
      <c r="G114" s="169"/>
      <c r="H114" s="199"/>
      <c r="I114" s="199"/>
      <c r="J114" s="187"/>
      <c r="K114" s="169"/>
      <c r="L114" s="199"/>
      <c r="M114" s="169"/>
      <c r="N114" s="199"/>
      <c r="O114" s="187"/>
      <c r="P114" s="199"/>
      <c r="Q114" s="199"/>
      <c r="R114" s="172"/>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232"/>
      <c r="DG114" s="229"/>
      <c r="DH114" s="199"/>
      <c r="DI114" s="187"/>
      <c r="DJ114" s="205"/>
      <c r="DK114" s="199"/>
      <c r="DL114" s="199"/>
      <c r="DM114" s="187"/>
      <c r="DN114" s="199"/>
      <c r="DO114" s="187"/>
      <c r="DP114" s="205"/>
      <c r="DQ114" s="199"/>
      <c r="DR114" s="187"/>
      <c r="DS114" s="199"/>
      <c r="DT114" s="199"/>
      <c r="DU114" s="235"/>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229"/>
      <c r="FM114" s="187"/>
      <c r="FN114" s="199"/>
      <c r="FO114" s="199"/>
      <c r="FP114" s="199"/>
      <c r="FQ114" s="187"/>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229"/>
    </row>
    <row r="115" spans="1:210" ht="16" customHeight="1" thickTop="1">
      <c r="A115" s="59" t="s">
        <v>683</v>
      </c>
      <c r="B115" s="185">
        <v>1</v>
      </c>
      <c r="C115" s="167"/>
      <c r="D115" s="197">
        <v>1</v>
      </c>
      <c r="E115" s="206"/>
      <c r="F115" s="185">
        <v>1</v>
      </c>
      <c r="G115" s="167"/>
      <c r="H115" s="197">
        <v>1</v>
      </c>
      <c r="I115" s="197">
        <v>1</v>
      </c>
      <c r="J115" s="185">
        <v>1</v>
      </c>
      <c r="K115" s="167"/>
      <c r="L115" s="197">
        <v>1</v>
      </c>
      <c r="M115" s="167"/>
      <c r="N115" s="197">
        <v>1</v>
      </c>
      <c r="O115" s="185">
        <v>1</v>
      </c>
      <c r="P115" s="197">
        <v>1</v>
      </c>
      <c r="Q115" s="197">
        <v>1</v>
      </c>
      <c r="R115" s="206"/>
      <c r="S115" s="197">
        <v>1</v>
      </c>
      <c r="T115" s="197">
        <v>1</v>
      </c>
      <c r="U115" s="197">
        <v>1</v>
      </c>
      <c r="V115" s="197">
        <v>1</v>
      </c>
      <c r="W115" s="197">
        <v>1</v>
      </c>
      <c r="X115" s="197">
        <v>1</v>
      </c>
      <c r="Y115" s="197">
        <v>1</v>
      </c>
      <c r="Z115" s="197">
        <v>1</v>
      </c>
      <c r="AA115" s="197">
        <v>1</v>
      </c>
      <c r="AB115" s="197">
        <v>1</v>
      </c>
      <c r="AC115" s="197">
        <v>1</v>
      </c>
      <c r="AD115" s="197">
        <v>1</v>
      </c>
      <c r="AE115" s="197">
        <v>1</v>
      </c>
      <c r="AF115" s="197">
        <v>1</v>
      </c>
      <c r="AG115" s="197">
        <v>1</v>
      </c>
      <c r="AH115" s="197">
        <v>1</v>
      </c>
      <c r="AI115" s="197">
        <v>1</v>
      </c>
      <c r="AJ115" s="197">
        <v>1</v>
      </c>
      <c r="AK115" s="197">
        <v>1</v>
      </c>
      <c r="AL115" s="197">
        <v>1</v>
      </c>
      <c r="AM115" s="197">
        <v>1</v>
      </c>
      <c r="AN115" s="197">
        <v>1</v>
      </c>
      <c r="AO115" s="197">
        <v>1</v>
      </c>
      <c r="AP115" s="197">
        <v>1</v>
      </c>
      <c r="AQ115" s="197">
        <v>1</v>
      </c>
      <c r="AR115" s="197">
        <v>1</v>
      </c>
      <c r="AS115" s="197">
        <v>1</v>
      </c>
      <c r="AT115" s="197">
        <v>1</v>
      </c>
      <c r="AU115" s="197">
        <v>1</v>
      </c>
      <c r="AV115" s="197">
        <v>1</v>
      </c>
      <c r="AW115" s="197">
        <v>1</v>
      </c>
      <c r="AX115" s="197">
        <v>1</v>
      </c>
      <c r="AY115" s="197">
        <v>1</v>
      </c>
      <c r="AZ115" s="197">
        <v>1</v>
      </c>
      <c r="BA115" s="197">
        <v>1</v>
      </c>
      <c r="BB115" s="197">
        <v>1</v>
      </c>
      <c r="BC115" s="197">
        <v>1</v>
      </c>
      <c r="BD115" s="197">
        <v>1</v>
      </c>
      <c r="BE115" s="197">
        <v>1</v>
      </c>
      <c r="BF115" s="197">
        <v>1</v>
      </c>
      <c r="BG115" s="197">
        <v>1</v>
      </c>
      <c r="BH115" s="197">
        <v>1</v>
      </c>
      <c r="BI115" s="197">
        <v>1</v>
      </c>
      <c r="BJ115" s="197">
        <v>1</v>
      </c>
      <c r="BK115" s="197">
        <v>1</v>
      </c>
      <c r="BL115" s="197">
        <v>1</v>
      </c>
      <c r="BM115" s="197">
        <v>1</v>
      </c>
      <c r="BN115" s="197">
        <v>1</v>
      </c>
      <c r="BO115" s="197">
        <v>1</v>
      </c>
      <c r="BP115" s="197">
        <v>1</v>
      </c>
      <c r="BQ115" s="197">
        <v>1</v>
      </c>
      <c r="BR115" s="197">
        <v>1</v>
      </c>
      <c r="BS115" s="197">
        <v>1</v>
      </c>
      <c r="BT115" s="197">
        <v>1</v>
      </c>
      <c r="BU115" s="197">
        <v>1</v>
      </c>
      <c r="BV115" s="197">
        <v>1</v>
      </c>
      <c r="BW115" s="197">
        <v>1</v>
      </c>
      <c r="BX115" s="197">
        <v>1</v>
      </c>
      <c r="BY115" s="197">
        <v>1</v>
      </c>
      <c r="BZ115" s="197">
        <v>1</v>
      </c>
      <c r="CA115" s="197">
        <v>1</v>
      </c>
      <c r="CB115" s="197">
        <v>1</v>
      </c>
      <c r="CC115" s="197">
        <v>1</v>
      </c>
      <c r="CD115" s="197">
        <v>1</v>
      </c>
      <c r="CE115" s="197">
        <v>1</v>
      </c>
      <c r="CF115" s="197">
        <v>1</v>
      </c>
      <c r="CG115" s="197">
        <v>1</v>
      </c>
      <c r="CH115" s="197">
        <v>1</v>
      </c>
      <c r="CI115" s="197">
        <v>1</v>
      </c>
      <c r="CJ115" s="197">
        <v>1</v>
      </c>
      <c r="CK115" s="197">
        <v>1</v>
      </c>
      <c r="CL115" s="197">
        <v>1</v>
      </c>
      <c r="CM115" s="197">
        <v>1</v>
      </c>
      <c r="CN115" s="197">
        <v>1</v>
      </c>
      <c r="CO115" s="197">
        <v>1</v>
      </c>
      <c r="CP115" s="197">
        <v>1</v>
      </c>
      <c r="CQ115" s="197">
        <v>1</v>
      </c>
      <c r="CR115" s="197">
        <v>1</v>
      </c>
      <c r="CS115" s="197">
        <v>1</v>
      </c>
      <c r="CT115" s="197">
        <v>1</v>
      </c>
      <c r="CU115" s="197">
        <v>1</v>
      </c>
      <c r="CV115" s="197">
        <v>1</v>
      </c>
      <c r="CW115" s="197">
        <v>1</v>
      </c>
      <c r="CX115" s="197">
        <v>1</v>
      </c>
      <c r="CY115" s="197">
        <v>1</v>
      </c>
      <c r="CZ115" s="197">
        <v>1</v>
      </c>
      <c r="DA115" s="197">
        <v>1</v>
      </c>
      <c r="DB115" s="197">
        <v>1</v>
      </c>
      <c r="DC115" s="197">
        <v>1</v>
      </c>
      <c r="DD115" s="197">
        <v>1</v>
      </c>
      <c r="DE115" s="197">
        <v>1</v>
      </c>
      <c r="DF115" s="230">
        <v>1</v>
      </c>
      <c r="DG115" s="227">
        <f>+AVERAGE(B115:DF117)</f>
        <v>1</v>
      </c>
      <c r="DH115" s="197">
        <v>1</v>
      </c>
      <c r="DI115" s="185">
        <v>1</v>
      </c>
      <c r="DJ115" s="203"/>
      <c r="DK115" s="197">
        <v>1</v>
      </c>
      <c r="DL115" s="197">
        <v>1</v>
      </c>
      <c r="DM115" s="185">
        <v>1</v>
      </c>
      <c r="DN115" s="197">
        <v>1</v>
      </c>
      <c r="DO115" s="185">
        <v>1</v>
      </c>
      <c r="DP115" s="203"/>
      <c r="DQ115" s="197">
        <v>1</v>
      </c>
      <c r="DR115" s="185">
        <v>1</v>
      </c>
      <c r="DS115" s="197">
        <v>1</v>
      </c>
      <c r="DT115" s="197">
        <v>1</v>
      </c>
      <c r="DU115" s="197"/>
      <c r="DV115" s="197">
        <v>1</v>
      </c>
      <c r="DW115" s="197">
        <v>1</v>
      </c>
      <c r="DX115" s="197">
        <v>1</v>
      </c>
      <c r="DY115" s="197">
        <v>1</v>
      </c>
      <c r="DZ115" s="197">
        <v>1</v>
      </c>
      <c r="EA115" s="197">
        <v>1</v>
      </c>
      <c r="EB115" s="197">
        <v>1</v>
      </c>
      <c r="EC115" s="197">
        <v>1</v>
      </c>
      <c r="ED115" s="197">
        <v>1</v>
      </c>
      <c r="EE115" s="197">
        <v>1</v>
      </c>
      <c r="EF115" s="197">
        <v>1</v>
      </c>
      <c r="EG115" s="197">
        <v>1</v>
      </c>
      <c r="EH115" s="197">
        <v>1</v>
      </c>
      <c r="EI115" s="197">
        <v>1</v>
      </c>
      <c r="EJ115" s="197">
        <v>1</v>
      </c>
      <c r="EK115" s="197">
        <v>1</v>
      </c>
      <c r="EL115" s="197">
        <v>1</v>
      </c>
      <c r="EM115" s="197">
        <v>1</v>
      </c>
      <c r="EN115" s="197">
        <v>1</v>
      </c>
      <c r="EO115" s="197">
        <v>1</v>
      </c>
      <c r="EP115" s="197">
        <v>1</v>
      </c>
      <c r="EQ115" s="197">
        <v>1</v>
      </c>
      <c r="ER115" s="197">
        <v>1</v>
      </c>
      <c r="ES115" s="197">
        <v>1</v>
      </c>
      <c r="ET115" s="197">
        <v>1</v>
      </c>
      <c r="EU115" s="197">
        <v>1</v>
      </c>
      <c r="EV115" s="197">
        <v>1</v>
      </c>
      <c r="EW115" s="197">
        <v>1</v>
      </c>
      <c r="EX115" s="197">
        <v>1</v>
      </c>
      <c r="EY115" s="197">
        <v>1</v>
      </c>
      <c r="EZ115" s="197">
        <v>1</v>
      </c>
      <c r="FA115" s="197">
        <v>1</v>
      </c>
      <c r="FB115" s="197">
        <v>1</v>
      </c>
      <c r="FC115" s="197">
        <v>1</v>
      </c>
      <c r="FD115" s="197">
        <v>1</v>
      </c>
      <c r="FE115" s="197">
        <v>1</v>
      </c>
      <c r="FF115" s="197">
        <v>1</v>
      </c>
      <c r="FG115" s="197">
        <v>1</v>
      </c>
      <c r="FH115" s="197">
        <v>1</v>
      </c>
      <c r="FI115" s="197">
        <v>1</v>
      </c>
      <c r="FJ115" s="197">
        <v>1</v>
      </c>
      <c r="FK115" s="197">
        <v>1</v>
      </c>
      <c r="FL115" s="227">
        <f>+AVERAGE(DH115:FK117)</f>
        <v>1</v>
      </c>
      <c r="FM115" s="185">
        <v>1</v>
      </c>
      <c r="FN115" s="197">
        <v>1</v>
      </c>
      <c r="FO115" s="197">
        <v>1</v>
      </c>
      <c r="FP115" s="197">
        <v>1</v>
      </c>
      <c r="FQ115" s="185">
        <v>1</v>
      </c>
      <c r="FR115" s="197">
        <v>1</v>
      </c>
      <c r="FS115" s="197">
        <v>1</v>
      </c>
      <c r="FT115" s="197">
        <v>1</v>
      </c>
      <c r="FU115" s="197">
        <v>1</v>
      </c>
      <c r="FV115" s="197">
        <v>1</v>
      </c>
      <c r="FW115" s="197">
        <v>1</v>
      </c>
      <c r="FX115" s="197">
        <v>1</v>
      </c>
      <c r="FY115" s="197">
        <v>1</v>
      </c>
      <c r="FZ115" s="197">
        <v>1</v>
      </c>
      <c r="GA115" s="197">
        <v>1</v>
      </c>
      <c r="GB115" s="197">
        <v>1</v>
      </c>
      <c r="GC115" s="197">
        <v>1</v>
      </c>
      <c r="GD115" s="197">
        <v>1</v>
      </c>
      <c r="GE115" s="197">
        <v>1</v>
      </c>
      <c r="GF115" s="197">
        <v>1</v>
      </c>
      <c r="GG115" s="197">
        <v>1</v>
      </c>
      <c r="GH115" s="197">
        <v>1</v>
      </c>
      <c r="GI115" s="197">
        <v>1</v>
      </c>
      <c r="GJ115" s="197">
        <v>1</v>
      </c>
      <c r="GK115" s="197">
        <v>1</v>
      </c>
      <c r="GL115" s="197">
        <v>1</v>
      </c>
      <c r="GM115" s="197">
        <v>1</v>
      </c>
      <c r="GN115" s="197">
        <v>1</v>
      </c>
      <c r="GO115" s="197">
        <v>1</v>
      </c>
      <c r="GP115" s="197">
        <v>1</v>
      </c>
      <c r="GQ115" s="197">
        <v>1</v>
      </c>
      <c r="GR115" s="197">
        <v>1</v>
      </c>
      <c r="GS115" s="197">
        <v>1</v>
      </c>
      <c r="GT115" s="197">
        <v>1</v>
      </c>
      <c r="GU115" s="197">
        <v>1</v>
      </c>
      <c r="GV115" s="197">
        <v>1</v>
      </c>
      <c r="GW115" s="197">
        <v>1</v>
      </c>
      <c r="GX115" s="197">
        <v>1</v>
      </c>
      <c r="GY115" s="197">
        <v>1</v>
      </c>
      <c r="GZ115" s="197">
        <v>1</v>
      </c>
      <c r="HA115" s="197">
        <v>1</v>
      </c>
      <c r="HB115" s="227">
        <f t="shared" ref="HB115" si="25">+AVERAGE(FM115:HA117)</f>
        <v>1</v>
      </c>
    </row>
    <row r="116" spans="1:210" ht="15" customHeight="1">
      <c r="A116" s="58"/>
      <c r="B116" s="186"/>
      <c r="C116" s="168"/>
      <c r="D116" s="198"/>
      <c r="E116" s="207"/>
      <c r="F116" s="186"/>
      <c r="G116" s="168"/>
      <c r="H116" s="198"/>
      <c r="I116" s="198"/>
      <c r="J116" s="186"/>
      <c r="K116" s="168"/>
      <c r="L116" s="198"/>
      <c r="M116" s="168"/>
      <c r="N116" s="198"/>
      <c r="O116" s="186"/>
      <c r="P116" s="198"/>
      <c r="Q116" s="198"/>
      <c r="R116" s="207"/>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231"/>
      <c r="DG116" s="228"/>
      <c r="DH116" s="198"/>
      <c r="DI116" s="186"/>
      <c r="DJ116" s="204"/>
      <c r="DK116" s="198"/>
      <c r="DL116" s="198"/>
      <c r="DM116" s="186"/>
      <c r="DN116" s="198"/>
      <c r="DO116" s="186"/>
      <c r="DP116" s="204"/>
      <c r="DQ116" s="198"/>
      <c r="DR116" s="186"/>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228"/>
      <c r="FM116" s="186"/>
      <c r="FN116" s="198"/>
      <c r="FO116" s="198"/>
      <c r="FP116" s="198"/>
      <c r="FQ116" s="186"/>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228"/>
    </row>
    <row r="117" spans="1:210" ht="71" thickBot="1">
      <c r="A117" s="57" t="s">
        <v>682</v>
      </c>
      <c r="B117" s="187"/>
      <c r="C117" s="169"/>
      <c r="D117" s="199"/>
      <c r="E117" s="208"/>
      <c r="F117" s="187"/>
      <c r="G117" s="169"/>
      <c r="H117" s="199"/>
      <c r="I117" s="199"/>
      <c r="J117" s="187"/>
      <c r="K117" s="169"/>
      <c r="L117" s="199"/>
      <c r="M117" s="169"/>
      <c r="N117" s="199"/>
      <c r="O117" s="187"/>
      <c r="P117" s="199"/>
      <c r="Q117" s="199"/>
      <c r="R117" s="208"/>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232"/>
      <c r="DG117" s="229"/>
      <c r="DH117" s="199"/>
      <c r="DI117" s="187"/>
      <c r="DJ117" s="205"/>
      <c r="DK117" s="199"/>
      <c r="DL117" s="199"/>
      <c r="DM117" s="187"/>
      <c r="DN117" s="199"/>
      <c r="DO117" s="187"/>
      <c r="DP117" s="205"/>
      <c r="DQ117" s="199"/>
      <c r="DR117" s="187"/>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229"/>
      <c r="FM117" s="187"/>
      <c r="FN117" s="199"/>
      <c r="FO117" s="199"/>
      <c r="FP117" s="199"/>
      <c r="FQ117" s="187"/>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229"/>
    </row>
    <row r="118" spans="1:210" ht="26" customHeight="1" thickTop="1" thickBot="1">
      <c r="A118" s="91" t="s">
        <v>681</v>
      </c>
      <c r="B118" s="92"/>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101"/>
      <c r="DG118" s="102"/>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102"/>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102"/>
    </row>
    <row r="119" spans="1:210" ht="29" thickBot="1">
      <c r="A119" s="94" t="s">
        <v>806</v>
      </c>
      <c r="B119" s="95">
        <f>+SUM(B4:B117)</f>
        <v>21</v>
      </c>
      <c r="C119" s="95"/>
      <c r="D119" s="95">
        <f t="shared" ref="D119:BS119" si="26">+SUM(D4:D117)</f>
        <v>25</v>
      </c>
      <c r="E119" s="95"/>
      <c r="F119" s="95">
        <f t="shared" si="26"/>
        <v>24</v>
      </c>
      <c r="G119" s="95"/>
      <c r="H119" s="95">
        <f t="shared" ref="H119" si="27">+SUM(H4:H117)</f>
        <v>25</v>
      </c>
      <c r="I119" s="95">
        <f t="shared" si="26"/>
        <v>22</v>
      </c>
      <c r="J119" s="95">
        <f t="shared" si="26"/>
        <v>22</v>
      </c>
      <c r="K119" s="95"/>
      <c r="L119" s="95">
        <f t="shared" si="26"/>
        <v>24</v>
      </c>
      <c r="M119" s="95"/>
      <c r="N119" s="95">
        <f t="shared" si="26"/>
        <v>24</v>
      </c>
      <c r="O119" s="95">
        <f t="shared" si="26"/>
        <v>21</v>
      </c>
      <c r="P119" s="95">
        <f t="shared" si="26"/>
        <v>21</v>
      </c>
      <c r="Q119" s="95">
        <f t="shared" si="26"/>
        <v>22</v>
      </c>
      <c r="R119" s="95"/>
      <c r="S119" s="95">
        <f t="shared" si="26"/>
        <v>22</v>
      </c>
      <c r="T119" s="95">
        <f t="shared" si="26"/>
        <v>24</v>
      </c>
      <c r="U119" s="95">
        <f t="shared" si="26"/>
        <v>24</v>
      </c>
      <c r="V119" s="95">
        <f t="shared" si="26"/>
        <v>25</v>
      </c>
      <c r="W119" s="95">
        <f t="shared" si="26"/>
        <v>22</v>
      </c>
      <c r="X119" s="95">
        <f t="shared" si="26"/>
        <v>26</v>
      </c>
      <c r="Y119" s="95">
        <f t="shared" si="26"/>
        <v>25</v>
      </c>
      <c r="Z119" s="95">
        <f t="shared" si="26"/>
        <v>26</v>
      </c>
      <c r="AA119" s="95">
        <f t="shared" si="26"/>
        <v>26</v>
      </c>
      <c r="AB119" s="95">
        <f t="shared" si="26"/>
        <v>26</v>
      </c>
      <c r="AC119" s="95">
        <f t="shared" si="26"/>
        <v>26</v>
      </c>
      <c r="AD119" s="95">
        <f t="shared" si="26"/>
        <v>26</v>
      </c>
      <c r="AE119" s="95">
        <f t="shared" si="26"/>
        <v>21</v>
      </c>
      <c r="AF119" s="95">
        <f t="shared" si="26"/>
        <v>22</v>
      </c>
      <c r="AG119" s="95">
        <f t="shared" si="26"/>
        <v>22</v>
      </c>
      <c r="AH119" s="95">
        <f t="shared" si="26"/>
        <v>20</v>
      </c>
      <c r="AI119" s="95">
        <f t="shared" si="26"/>
        <v>26</v>
      </c>
      <c r="AJ119" s="95">
        <f t="shared" si="26"/>
        <v>26</v>
      </c>
      <c r="AK119" s="95">
        <f t="shared" si="26"/>
        <v>26</v>
      </c>
      <c r="AL119" s="95">
        <f t="shared" si="26"/>
        <v>25</v>
      </c>
      <c r="AM119" s="95">
        <f t="shared" si="26"/>
        <v>24</v>
      </c>
      <c r="AN119" s="95">
        <f t="shared" si="26"/>
        <v>24</v>
      </c>
      <c r="AO119" s="95">
        <f t="shared" si="26"/>
        <v>25</v>
      </c>
      <c r="AP119" s="95">
        <f t="shared" si="26"/>
        <v>23</v>
      </c>
      <c r="AQ119" s="95">
        <f t="shared" si="26"/>
        <v>26</v>
      </c>
      <c r="AR119" s="95">
        <f t="shared" si="26"/>
        <v>25</v>
      </c>
      <c r="AS119" s="95">
        <f t="shared" si="26"/>
        <v>27</v>
      </c>
      <c r="AT119" s="95">
        <f t="shared" si="26"/>
        <v>27</v>
      </c>
      <c r="AU119" s="95">
        <f t="shared" si="26"/>
        <v>27</v>
      </c>
      <c r="AV119" s="95">
        <f t="shared" si="26"/>
        <v>26</v>
      </c>
      <c r="AW119" s="95">
        <f t="shared" si="26"/>
        <v>27</v>
      </c>
      <c r="AX119" s="95">
        <f t="shared" si="26"/>
        <v>25</v>
      </c>
      <c r="AY119" s="95">
        <f t="shared" si="26"/>
        <v>24</v>
      </c>
      <c r="AZ119" s="95">
        <f t="shared" si="26"/>
        <v>26</v>
      </c>
      <c r="BA119" s="95">
        <f t="shared" si="26"/>
        <v>27</v>
      </c>
      <c r="BB119" s="95">
        <f t="shared" si="26"/>
        <v>26</v>
      </c>
      <c r="BC119" s="95">
        <f t="shared" si="26"/>
        <v>26</v>
      </c>
      <c r="BD119" s="95">
        <f t="shared" si="26"/>
        <v>25</v>
      </c>
      <c r="BE119" s="95">
        <f t="shared" si="26"/>
        <v>25</v>
      </c>
      <c r="BF119" s="95">
        <f t="shared" si="26"/>
        <v>25</v>
      </c>
      <c r="BG119" s="95">
        <f t="shared" si="26"/>
        <v>24</v>
      </c>
      <c r="BH119" s="95">
        <f t="shared" si="26"/>
        <v>25</v>
      </c>
      <c r="BI119" s="95">
        <f t="shared" si="26"/>
        <v>22</v>
      </c>
      <c r="BJ119" s="95">
        <f t="shared" si="26"/>
        <v>22</v>
      </c>
      <c r="BK119" s="95">
        <f t="shared" si="26"/>
        <v>22</v>
      </c>
      <c r="BL119" s="95">
        <f t="shared" si="26"/>
        <v>26</v>
      </c>
      <c r="BM119" s="95">
        <f t="shared" si="26"/>
        <v>26</v>
      </c>
      <c r="BN119" s="95">
        <f t="shared" si="26"/>
        <v>26</v>
      </c>
      <c r="BO119" s="95">
        <f t="shared" si="26"/>
        <v>27</v>
      </c>
      <c r="BP119" s="95">
        <f t="shared" si="26"/>
        <v>27</v>
      </c>
      <c r="BQ119" s="95">
        <f t="shared" si="26"/>
        <v>23</v>
      </c>
      <c r="BR119" s="95">
        <f t="shared" si="26"/>
        <v>26</v>
      </c>
      <c r="BS119" s="95">
        <f t="shared" si="26"/>
        <v>27</v>
      </c>
      <c r="BT119" s="95">
        <f t="shared" ref="BT119:EM119" si="28">+SUM(BT4:BT117)</f>
        <v>24</v>
      </c>
      <c r="BU119" s="95">
        <f t="shared" si="28"/>
        <v>27</v>
      </c>
      <c r="BV119" s="95">
        <f t="shared" si="28"/>
        <v>28</v>
      </c>
      <c r="BW119" s="95">
        <f t="shared" si="28"/>
        <v>26</v>
      </c>
      <c r="BX119" s="95">
        <f t="shared" si="28"/>
        <v>26</v>
      </c>
      <c r="BY119" s="95">
        <f t="shared" si="28"/>
        <v>27</v>
      </c>
      <c r="BZ119" s="95">
        <f t="shared" si="28"/>
        <v>27</v>
      </c>
      <c r="CA119" s="95">
        <f t="shared" si="28"/>
        <v>24</v>
      </c>
      <c r="CB119" s="95">
        <f t="shared" si="28"/>
        <v>26</v>
      </c>
      <c r="CC119" s="95">
        <f t="shared" si="28"/>
        <v>24</v>
      </c>
      <c r="CD119" s="95">
        <f t="shared" si="28"/>
        <v>26</v>
      </c>
      <c r="CE119" s="95">
        <f t="shared" si="28"/>
        <v>26</v>
      </c>
      <c r="CF119" s="95">
        <f t="shared" si="28"/>
        <v>27</v>
      </c>
      <c r="CG119" s="95">
        <f t="shared" si="28"/>
        <v>28</v>
      </c>
      <c r="CH119" s="95">
        <f t="shared" si="28"/>
        <v>25</v>
      </c>
      <c r="CI119" s="95">
        <f t="shared" si="28"/>
        <v>26</v>
      </c>
      <c r="CJ119" s="95">
        <f t="shared" si="28"/>
        <v>26</v>
      </c>
      <c r="CK119" s="95">
        <f t="shared" si="28"/>
        <v>26</v>
      </c>
      <c r="CL119" s="95">
        <f t="shared" si="28"/>
        <v>26</v>
      </c>
      <c r="CM119" s="95">
        <f t="shared" si="28"/>
        <v>25</v>
      </c>
      <c r="CN119" s="95">
        <f t="shared" si="28"/>
        <v>24</v>
      </c>
      <c r="CO119" s="95">
        <f t="shared" si="28"/>
        <v>27</v>
      </c>
      <c r="CP119" s="95">
        <f t="shared" si="28"/>
        <v>27</v>
      </c>
      <c r="CQ119" s="95">
        <f t="shared" si="28"/>
        <v>29</v>
      </c>
      <c r="CR119" s="95">
        <f t="shared" si="28"/>
        <v>26</v>
      </c>
      <c r="CS119" s="95">
        <f t="shared" si="28"/>
        <v>25</v>
      </c>
      <c r="CT119" s="95">
        <f t="shared" si="28"/>
        <v>24</v>
      </c>
      <c r="CU119" s="95">
        <f t="shared" si="28"/>
        <v>26</v>
      </c>
      <c r="CV119" s="95">
        <f t="shared" si="28"/>
        <v>26</v>
      </c>
      <c r="CW119" s="95">
        <f t="shared" si="28"/>
        <v>26</v>
      </c>
      <c r="CX119" s="95">
        <f t="shared" si="28"/>
        <v>27</v>
      </c>
      <c r="CY119" s="95">
        <f t="shared" si="28"/>
        <v>26</v>
      </c>
      <c r="CZ119" s="95">
        <f t="shared" si="28"/>
        <v>25</v>
      </c>
      <c r="DA119" s="95">
        <f t="shared" si="28"/>
        <v>26</v>
      </c>
      <c r="DB119" s="95">
        <f t="shared" si="28"/>
        <v>24</v>
      </c>
      <c r="DC119" s="95">
        <f t="shared" si="28"/>
        <v>26</v>
      </c>
      <c r="DD119" s="95">
        <f t="shared" si="28"/>
        <v>26</v>
      </c>
      <c r="DE119" s="95">
        <f t="shared" si="28"/>
        <v>24</v>
      </c>
      <c r="DF119" s="95">
        <f t="shared" si="28"/>
        <v>26</v>
      </c>
      <c r="DG119" s="107">
        <f>+AVERAGE(B119:DF119)</f>
        <v>25.04854368932039</v>
      </c>
      <c r="DH119" s="95">
        <f t="shared" si="28"/>
        <v>24</v>
      </c>
      <c r="DI119" s="95">
        <f t="shared" si="28"/>
        <v>23</v>
      </c>
      <c r="DJ119" s="95"/>
      <c r="DK119" s="95">
        <f t="shared" si="28"/>
        <v>24</v>
      </c>
      <c r="DL119" s="95">
        <f t="shared" si="28"/>
        <v>22</v>
      </c>
      <c r="DM119" s="95">
        <f t="shared" si="28"/>
        <v>23</v>
      </c>
      <c r="DN119" s="95">
        <f t="shared" si="28"/>
        <v>21</v>
      </c>
      <c r="DO119" s="95">
        <f t="shared" si="28"/>
        <v>24</v>
      </c>
      <c r="DP119" s="95"/>
      <c r="DQ119" s="95">
        <f t="shared" si="28"/>
        <v>24</v>
      </c>
      <c r="DR119" s="95">
        <f t="shared" si="28"/>
        <v>23</v>
      </c>
      <c r="DS119" s="95">
        <f t="shared" si="28"/>
        <v>19</v>
      </c>
      <c r="DT119" s="95">
        <f t="shared" si="28"/>
        <v>22</v>
      </c>
      <c r="DU119" s="95"/>
      <c r="DV119" s="95">
        <f t="shared" si="28"/>
        <v>25</v>
      </c>
      <c r="DW119" s="95">
        <f t="shared" si="28"/>
        <v>24</v>
      </c>
      <c r="DX119" s="95">
        <f t="shared" si="28"/>
        <v>23</v>
      </c>
      <c r="DY119" s="95">
        <f t="shared" si="28"/>
        <v>23</v>
      </c>
      <c r="DZ119" s="95">
        <f t="shared" si="28"/>
        <v>24</v>
      </c>
      <c r="EA119" s="95">
        <f t="shared" si="28"/>
        <v>22</v>
      </c>
      <c r="EB119" s="95">
        <f t="shared" si="28"/>
        <v>24</v>
      </c>
      <c r="EC119" s="95">
        <f t="shared" si="28"/>
        <v>24</v>
      </c>
      <c r="ED119" s="95">
        <f t="shared" si="28"/>
        <v>24</v>
      </c>
      <c r="EE119" s="95">
        <f t="shared" si="28"/>
        <v>23</v>
      </c>
      <c r="EF119" s="95">
        <f t="shared" si="28"/>
        <v>22</v>
      </c>
      <c r="EG119" s="95">
        <f t="shared" si="28"/>
        <v>24</v>
      </c>
      <c r="EH119" s="95">
        <f t="shared" si="28"/>
        <v>25</v>
      </c>
      <c r="EI119" s="95">
        <f t="shared" si="28"/>
        <v>25</v>
      </c>
      <c r="EJ119" s="95">
        <f t="shared" si="28"/>
        <v>25</v>
      </c>
      <c r="EK119" s="95">
        <f t="shared" si="28"/>
        <v>25</v>
      </c>
      <c r="EL119" s="95">
        <f t="shared" si="28"/>
        <v>24</v>
      </c>
      <c r="EM119" s="95">
        <f t="shared" si="28"/>
        <v>24</v>
      </c>
      <c r="EN119" s="95">
        <f t="shared" ref="EN119:FK119" si="29">+SUM(EN4:EN117)</f>
        <v>23</v>
      </c>
      <c r="EO119" s="95">
        <f t="shared" si="29"/>
        <v>23</v>
      </c>
      <c r="EP119" s="95">
        <f t="shared" si="29"/>
        <v>24</v>
      </c>
      <c r="EQ119" s="95">
        <f t="shared" si="29"/>
        <v>26</v>
      </c>
      <c r="ER119" s="95">
        <f t="shared" si="29"/>
        <v>24</v>
      </c>
      <c r="ES119" s="95">
        <f t="shared" si="29"/>
        <v>23</v>
      </c>
      <c r="ET119" s="95">
        <f t="shared" si="29"/>
        <v>23</v>
      </c>
      <c r="EU119" s="95">
        <f t="shared" si="29"/>
        <v>23</v>
      </c>
      <c r="EV119" s="95">
        <f t="shared" si="29"/>
        <v>24</v>
      </c>
      <c r="EW119" s="95">
        <f t="shared" si="29"/>
        <v>25</v>
      </c>
      <c r="EX119" s="95">
        <f t="shared" si="29"/>
        <v>26</v>
      </c>
      <c r="EY119" s="95">
        <f t="shared" si="29"/>
        <v>24</v>
      </c>
      <c r="EZ119" s="95">
        <f t="shared" si="29"/>
        <v>22</v>
      </c>
      <c r="FA119" s="95">
        <f t="shared" si="29"/>
        <v>23</v>
      </c>
      <c r="FB119" s="95">
        <f t="shared" si="29"/>
        <v>24</v>
      </c>
      <c r="FC119" s="95">
        <f t="shared" si="29"/>
        <v>27</v>
      </c>
      <c r="FD119" s="95">
        <f t="shared" si="29"/>
        <v>24</v>
      </c>
      <c r="FE119" s="95">
        <f t="shared" si="29"/>
        <v>22</v>
      </c>
      <c r="FF119" s="95">
        <f t="shared" si="29"/>
        <v>24</v>
      </c>
      <c r="FG119" s="95">
        <f t="shared" si="29"/>
        <v>24</v>
      </c>
      <c r="FH119" s="95">
        <f t="shared" si="29"/>
        <v>24</v>
      </c>
      <c r="FI119" s="95">
        <f t="shared" si="29"/>
        <v>23</v>
      </c>
      <c r="FJ119" s="95">
        <f t="shared" si="29"/>
        <v>24</v>
      </c>
      <c r="FK119" s="95">
        <f t="shared" si="29"/>
        <v>24</v>
      </c>
      <c r="FL119" s="113">
        <f>+AVERAGE(DH119:FK119)</f>
        <v>23.622641509433961</v>
      </c>
      <c r="FM119" s="95">
        <f>+SUM(FM3:FM117)</f>
        <v>23</v>
      </c>
      <c r="FN119" s="95">
        <f>+SUM(FN3:FN117)</f>
        <v>24</v>
      </c>
      <c r="FO119" s="95">
        <f t="shared" ref="FO119:HA119" si="30">+SUM(FO3:FO117)</f>
        <v>22</v>
      </c>
      <c r="FP119" s="95">
        <f t="shared" si="30"/>
        <v>21</v>
      </c>
      <c r="FQ119" s="95">
        <f t="shared" si="30"/>
        <v>24</v>
      </c>
      <c r="FR119" s="95">
        <f t="shared" si="30"/>
        <v>21</v>
      </c>
      <c r="FS119" s="95">
        <f t="shared" si="30"/>
        <v>24</v>
      </c>
      <c r="FT119" s="95">
        <f t="shared" si="30"/>
        <v>25</v>
      </c>
      <c r="FU119" s="95">
        <f t="shared" si="30"/>
        <v>23</v>
      </c>
      <c r="FV119" s="95">
        <f t="shared" si="30"/>
        <v>25</v>
      </c>
      <c r="FW119" s="95">
        <f t="shared" si="30"/>
        <v>24</v>
      </c>
      <c r="FX119" s="95">
        <f t="shared" si="30"/>
        <v>22</v>
      </c>
      <c r="FY119" s="95">
        <f t="shared" si="30"/>
        <v>24</v>
      </c>
      <c r="FZ119" s="95">
        <f t="shared" si="30"/>
        <v>22</v>
      </c>
      <c r="GA119" s="95">
        <f t="shared" si="30"/>
        <v>22</v>
      </c>
      <c r="GB119" s="95">
        <f t="shared" si="30"/>
        <v>23</v>
      </c>
      <c r="GC119" s="95">
        <f t="shared" si="30"/>
        <v>24</v>
      </c>
      <c r="GD119" s="95">
        <f t="shared" si="30"/>
        <v>25</v>
      </c>
      <c r="GE119" s="95">
        <f t="shared" si="30"/>
        <v>25</v>
      </c>
      <c r="GF119" s="95">
        <f t="shared" si="30"/>
        <v>25</v>
      </c>
      <c r="GG119" s="95">
        <f t="shared" si="30"/>
        <v>22</v>
      </c>
      <c r="GH119" s="95">
        <f t="shared" si="30"/>
        <v>24</v>
      </c>
      <c r="GI119" s="95">
        <f t="shared" si="30"/>
        <v>24</v>
      </c>
      <c r="GJ119" s="95">
        <f t="shared" si="30"/>
        <v>26</v>
      </c>
      <c r="GK119" s="95">
        <f t="shared" si="30"/>
        <v>24</v>
      </c>
      <c r="GL119" s="95">
        <f t="shared" si="30"/>
        <v>25</v>
      </c>
      <c r="GM119" s="95">
        <f t="shared" si="30"/>
        <v>23</v>
      </c>
      <c r="GN119" s="95">
        <f t="shared" si="30"/>
        <v>23</v>
      </c>
      <c r="GO119" s="95">
        <f t="shared" si="30"/>
        <v>24</v>
      </c>
      <c r="GP119" s="95">
        <f t="shared" si="30"/>
        <v>25</v>
      </c>
      <c r="GQ119" s="95">
        <f t="shared" si="30"/>
        <v>26</v>
      </c>
      <c r="GR119" s="95">
        <f t="shared" si="30"/>
        <v>24</v>
      </c>
      <c r="GS119" s="95">
        <f t="shared" si="30"/>
        <v>24</v>
      </c>
      <c r="GT119" s="95">
        <f t="shared" si="30"/>
        <v>27</v>
      </c>
      <c r="GU119" s="95">
        <f t="shared" si="30"/>
        <v>24</v>
      </c>
      <c r="GV119" s="95">
        <f t="shared" si="30"/>
        <v>22</v>
      </c>
      <c r="GW119" s="95">
        <f t="shared" si="30"/>
        <v>25</v>
      </c>
      <c r="GX119" s="95">
        <f t="shared" si="30"/>
        <v>23</v>
      </c>
      <c r="GY119" s="95">
        <f t="shared" si="30"/>
        <v>24</v>
      </c>
      <c r="GZ119" s="95">
        <f t="shared" si="30"/>
        <v>22</v>
      </c>
      <c r="HA119" s="95">
        <f t="shared" si="30"/>
        <v>24</v>
      </c>
      <c r="HB119" s="113">
        <f>+AVERAGE(FM119:GZ119)</f>
        <v>23.725000000000001</v>
      </c>
    </row>
    <row r="120" spans="1:210">
      <c r="A120" s="71" t="s">
        <v>909</v>
      </c>
      <c r="DG120" s="108">
        <f>+DG119/36</f>
        <v>0.69579288025889974</v>
      </c>
      <c r="FL120" s="108">
        <f>+FL119/36</f>
        <v>0.65618448637316562</v>
      </c>
      <c r="HB120" s="108">
        <f>+HB119/36</f>
        <v>0.65902777777777777</v>
      </c>
    </row>
  </sheetData>
  <mergeCells count="7526">
    <mergeCell ref="HA115:HA117"/>
    <mergeCell ref="FH87:FH89"/>
    <mergeCell ref="FH90:FH92"/>
    <mergeCell ref="FH94:FH96"/>
    <mergeCell ref="FH97:FH99"/>
    <mergeCell ref="FH100:FH101"/>
    <mergeCell ref="FH103:FH105"/>
    <mergeCell ref="FH106:FH108"/>
    <mergeCell ref="FH109:FH111"/>
    <mergeCell ref="FH112:FH114"/>
    <mergeCell ref="FH115:FH117"/>
    <mergeCell ref="FR103:FR105"/>
    <mergeCell ref="FR106:FR108"/>
    <mergeCell ref="FR109:FR111"/>
    <mergeCell ref="FR112:FR114"/>
    <mergeCell ref="FN100:FN101"/>
    <mergeCell ref="FN103:FN105"/>
    <mergeCell ref="FN106:FN108"/>
    <mergeCell ref="FN109:FN111"/>
    <mergeCell ref="FV115:FV117"/>
    <mergeCell ref="FV100:FV101"/>
    <mergeCell ref="FV103:FV105"/>
    <mergeCell ref="FV106:FV108"/>
    <mergeCell ref="FV109:FV111"/>
    <mergeCell ref="GV109:GV111"/>
    <mergeCell ref="GW109:GW111"/>
    <mergeCell ref="GX109:GX111"/>
    <mergeCell ref="GY109:GY111"/>
    <mergeCell ref="GZ109:GZ111"/>
    <mergeCell ref="GV112:GV114"/>
    <mergeCell ref="GW112:GW114"/>
    <mergeCell ref="GX112:GX114"/>
    <mergeCell ref="DC84:DC86"/>
    <mergeCell ref="DC87:DC89"/>
    <mergeCell ref="HA5:HA7"/>
    <mergeCell ref="HA8:HA10"/>
    <mergeCell ref="HA11:HA13"/>
    <mergeCell ref="HA14:HA16"/>
    <mergeCell ref="HA18:HA20"/>
    <mergeCell ref="HA21:HA23"/>
    <mergeCell ref="HA24:HA26"/>
    <mergeCell ref="HA27:HA29"/>
    <mergeCell ref="HA30:HA32"/>
    <mergeCell ref="HA34:HA36"/>
    <mergeCell ref="HA37:HA39"/>
    <mergeCell ref="HA40:HA42"/>
    <mergeCell ref="HA43:HA45"/>
    <mergeCell ref="HA46:HA48"/>
    <mergeCell ref="HA49:HA51"/>
    <mergeCell ref="HA52:HA54"/>
    <mergeCell ref="HA56:HA58"/>
    <mergeCell ref="FH30:FH32"/>
    <mergeCell ref="FH34:FH36"/>
    <mergeCell ref="FH37:FH39"/>
    <mergeCell ref="FH40:FH42"/>
    <mergeCell ref="FH43:FH45"/>
    <mergeCell ref="FH46:FH48"/>
    <mergeCell ref="FH49:FH51"/>
    <mergeCell ref="FH52:FH54"/>
    <mergeCell ref="FH56:FH58"/>
    <mergeCell ref="FH59:FH61"/>
    <mergeCell ref="DC56:DC58"/>
    <mergeCell ref="DC59:DC61"/>
    <mergeCell ref="DC62:DC64"/>
    <mergeCell ref="DC65:DC67"/>
    <mergeCell ref="DC68:DC70"/>
    <mergeCell ref="HA59:HA61"/>
    <mergeCell ref="HA62:HA64"/>
    <mergeCell ref="HA65:HA67"/>
    <mergeCell ref="HA68:HA70"/>
    <mergeCell ref="HA71:HA73"/>
    <mergeCell ref="DC100:DC101"/>
    <mergeCell ref="DC103:DC105"/>
    <mergeCell ref="DC106:DC108"/>
    <mergeCell ref="DC109:DC111"/>
    <mergeCell ref="DS59:DS61"/>
    <mergeCell ref="FN65:FN67"/>
    <mergeCell ref="FN68:FN70"/>
    <mergeCell ref="FN71:FN73"/>
    <mergeCell ref="FR68:FR70"/>
    <mergeCell ref="FR71:FR73"/>
    <mergeCell ref="GZ103:GZ105"/>
    <mergeCell ref="GV106:GV108"/>
    <mergeCell ref="GW106:GW108"/>
    <mergeCell ref="GX106:GX108"/>
    <mergeCell ref="GY106:GY108"/>
    <mergeCell ref="GZ106:GZ108"/>
    <mergeCell ref="GV84:GV86"/>
    <mergeCell ref="GW84:GW86"/>
    <mergeCell ref="GX84:GX86"/>
    <mergeCell ref="DC71:DC73"/>
    <mergeCell ref="DC75:DC77"/>
    <mergeCell ref="DC81:DC83"/>
    <mergeCell ref="EM90:EM92"/>
    <mergeCell ref="EM94:EM96"/>
    <mergeCell ref="EM97:EM99"/>
    <mergeCell ref="DC112:DC114"/>
    <mergeCell ref="HA75:HA77"/>
    <mergeCell ref="HA78:HA80"/>
    <mergeCell ref="HA81:HA83"/>
    <mergeCell ref="HA84:HA86"/>
    <mergeCell ref="HA87:HA89"/>
    <mergeCell ref="HA90:HA92"/>
    <mergeCell ref="HA94:HA96"/>
    <mergeCell ref="HA97:HA99"/>
    <mergeCell ref="HA100:HA101"/>
    <mergeCell ref="HA103:HA105"/>
    <mergeCell ref="HA106:HA108"/>
    <mergeCell ref="HA109:HA111"/>
    <mergeCell ref="HA112:HA114"/>
    <mergeCell ref="DS109:DS111"/>
    <mergeCell ref="DS112:DS114"/>
    <mergeCell ref="DK90:DK92"/>
    <mergeCell ref="DK94:DK96"/>
    <mergeCell ref="DK97:DK99"/>
    <mergeCell ref="DZ103:DZ105"/>
    <mergeCell ref="EA103:EA105"/>
    <mergeCell ref="EB103:EB105"/>
    <mergeCell ref="DC78:DC80"/>
    <mergeCell ref="FN97:FN99"/>
    <mergeCell ref="FN75:FN77"/>
    <mergeCell ref="FR75:FR77"/>
    <mergeCell ref="GY112:GY114"/>
    <mergeCell ref="GZ112:GZ114"/>
    <mergeCell ref="GV103:GV105"/>
    <mergeCell ref="GW103:GW105"/>
    <mergeCell ref="GX103:GX105"/>
    <mergeCell ref="GY103:GY105"/>
    <mergeCell ref="CW71:CW73"/>
    <mergeCell ref="CW75:CW77"/>
    <mergeCell ref="CW78:CW80"/>
    <mergeCell ref="CW81:CW83"/>
    <mergeCell ref="CW84:CW86"/>
    <mergeCell ref="FH71:FH73"/>
    <mergeCell ref="FH75:FH77"/>
    <mergeCell ref="FH78:FH80"/>
    <mergeCell ref="FH81:FH83"/>
    <mergeCell ref="FH84:FH86"/>
    <mergeCell ref="CW106:CW108"/>
    <mergeCell ref="CW109:CW111"/>
    <mergeCell ref="CW112:CW114"/>
    <mergeCell ref="CW115:CW117"/>
    <mergeCell ref="DC5:DC7"/>
    <mergeCell ref="DC8:DC10"/>
    <mergeCell ref="DC11:DC13"/>
    <mergeCell ref="DC14:DC16"/>
    <mergeCell ref="DC18:DC20"/>
    <mergeCell ref="DC21:DC23"/>
    <mergeCell ref="DC24:DC26"/>
    <mergeCell ref="DC27:DC29"/>
    <mergeCell ref="DC30:DC32"/>
    <mergeCell ref="DC34:DC36"/>
    <mergeCell ref="DC37:DC39"/>
    <mergeCell ref="DC40:DC42"/>
    <mergeCell ref="DC43:DC45"/>
    <mergeCell ref="DC46:DC48"/>
    <mergeCell ref="DC49:DC51"/>
    <mergeCell ref="DC52:DC54"/>
    <mergeCell ref="DC115:DC117"/>
    <mergeCell ref="FH5:FH7"/>
    <mergeCell ref="GS115:GS117"/>
    <mergeCell ref="CW5:CW7"/>
    <mergeCell ref="CW8:CW10"/>
    <mergeCell ref="CW11:CW13"/>
    <mergeCell ref="CW14:CW16"/>
    <mergeCell ref="CW18:CW20"/>
    <mergeCell ref="CW21:CW23"/>
    <mergeCell ref="CW24:CW26"/>
    <mergeCell ref="CW27:CW29"/>
    <mergeCell ref="CW30:CW32"/>
    <mergeCell ref="CW34:CW36"/>
    <mergeCell ref="CW37:CW39"/>
    <mergeCell ref="CW40:CW42"/>
    <mergeCell ref="CW43:CW45"/>
    <mergeCell ref="CW46:CW48"/>
    <mergeCell ref="CW49:CW51"/>
    <mergeCell ref="CW52:CW54"/>
    <mergeCell ref="CW56:CW58"/>
    <mergeCell ref="CW59:CW61"/>
    <mergeCell ref="GE115:GE117"/>
    <mergeCell ref="FV11:FV13"/>
    <mergeCell ref="FV14:FV16"/>
    <mergeCell ref="FV18:FV20"/>
    <mergeCell ref="FV21:FV23"/>
    <mergeCell ref="FV24:FV26"/>
    <mergeCell ref="FV27:FV29"/>
    <mergeCell ref="FV30:FV32"/>
    <mergeCell ref="FV34:FV36"/>
    <mergeCell ref="FV37:FV39"/>
    <mergeCell ref="FV40:FV42"/>
    <mergeCell ref="FV43:FV45"/>
    <mergeCell ref="CW65:CW67"/>
    <mergeCell ref="CW87:CW89"/>
    <mergeCell ref="CW90:CW92"/>
    <mergeCell ref="CW94:CW96"/>
    <mergeCell ref="CW97:CW99"/>
    <mergeCell ref="CW100:CW101"/>
    <mergeCell ref="FB78:FB80"/>
    <mergeCell ref="FB81:FB83"/>
    <mergeCell ref="FB84:FB86"/>
    <mergeCell ref="FB87:FB89"/>
    <mergeCell ref="FB90:FB92"/>
    <mergeCell ref="FB94:FB96"/>
    <mergeCell ref="FB97:FB99"/>
    <mergeCell ref="FB100:FB101"/>
    <mergeCell ref="FB103:FB105"/>
    <mergeCell ref="FB106:FB108"/>
    <mergeCell ref="FB109:FB111"/>
    <mergeCell ref="FB112:FB114"/>
    <mergeCell ref="EM109:EM111"/>
    <mergeCell ref="EM112:EM114"/>
    <mergeCell ref="EI106:EI108"/>
    <mergeCell ref="EI90:EI92"/>
    <mergeCell ref="EI94:EI96"/>
    <mergeCell ref="EI97:EI99"/>
    <mergeCell ref="EI100:EI101"/>
    <mergeCell ref="EI103:EI105"/>
    <mergeCell ref="DS78:DS80"/>
    <mergeCell ref="DS81:DS83"/>
    <mergeCell ref="DS84:DS86"/>
    <mergeCell ref="DS87:DS89"/>
    <mergeCell ref="DS90:DS92"/>
    <mergeCell ref="DS94:DS96"/>
    <mergeCell ref="DS97:DS99"/>
    <mergeCell ref="GS5:GS7"/>
    <mergeCell ref="GS8:GS10"/>
    <mergeCell ref="GS11:GS13"/>
    <mergeCell ref="GS14:GS16"/>
    <mergeCell ref="GS18:GS20"/>
    <mergeCell ref="GS21:GS23"/>
    <mergeCell ref="GS24:GS26"/>
    <mergeCell ref="GS27:GS29"/>
    <mergeCell ref="GS30:GS32"/>
    <mergeCell ref="GS34:GS36"/>
    <mergeCell ref="GS37:GS39"/>
    <mergeCell ref="GS40:GS42"/>
    <mergeCell ref="GS43:GS45"/>
    <mergeCell ref="GS46:GS48"/>
    <mergeCell ref="GS49:GS51"/>
    <mergeCell ref="GS52:GS54"/>
    <mergeCell ref="GS56:GS58"/>
    <mergeCell ref="CN106:CN108"/>
    <mergeCell ref="CN109:CN111"/>
    <mergeCell ref="CN112:CN114"/>
    <mergeCell ref="CN115:CN117"/>
    <mergeCell ref="FB5:FB7"/>
    <mergeCell ref="FB8:FB10"/>
    <mergeCell ref="FB11:FB13"/>
    <mergeCell ref="FB14:FB16"/>
    <mergeCell ref="FB18:FB20"/>
    <mergeCell ref="FB21:FB23"/>
    <mergeCell ref="FB24:FB26"/>
    <mergeCell ref="FB27:FB29"/>
    <mergeCell ref="FB30:FB32"/>
    <mergeCell ref="FB34:FB36"/>
    <mergeCell ref="FB37:FB39"/>
    <mergeCell ref="FB40:FB42"/>
    <mergeCell ref="FB43:FB45"/>
    <mergeCell ref="FB46:FB48"/>
    <mergeCell ref="FB49:FB51"/>
    <mergeCell ref="FB52:FB54"/>
    <mergeCell ref="FB56:FB58"/>
    <mergeCell ref="FB59:FB61"/>
    <mergeCell ref="FB62:FB64"/>
    <mergeCell ref="FB65:FB67"/>
    <mergeCell ref="FB68:FB70"/>
    <mergeCell ref="FB71:FB73"/>
    <mergeCell ref="FB75:FB77"/>
    <mergeCell ref="FB115:FB117"/>
    <mergeCell ref="EI109:EI111"/>
    <mergeCell ref="EI112:EI114"/>
    <mergeCell ref="DS103:DS105"/>
    <mergeCell ref="DS106:DS108"/>
    <mergeCell ref="CI106:CI108"/>
    <mergeCell ref="CI109:CI111"/>
    <mergeCell ref="CI112:CI114"/>
    <mergeCell ref="CI115:CI117"/>
    <mergeCell ref="CN5:CN7"/>
    <mergeCell ref="CN8:CN10"/>
    <mergeCell ref="CN11:CN13"/>
    <mergeCell ref="CN14:CN16"/>
    <mergeCell ref="CN18:CN20"/>
    <mergeCell ref="CN21:CN23"/>
    <mergeCell ref="CN24:CN26"/>
    <mergeCell ref="CN27:CN29"/>
    <mergeCell ref="CN30:CN32"/>
    <mergeCell ref="CN34:CN36"/>
    <mergeCell ref="CN37:CN39"/>
    <mergeCell ref="CN40:CN42"/>
    <mergeCell ref="CN43:CN45"/>
    <mergeCell ref="CN46:CN48"/>
    <mergeCell ref="CN49:CN51"/>
    <mergeCell ref="CN52:CN54"/>
    <mergeCell ref="CN56:CN58"/>
    <mergeCell ref="CN59:CN61"/>
    <mergeCell ref="CN62:CN64"/>
    <mergeCell ref="CN65:CN67"/>
    <mergeCell ref="CN68:CN70"/>
    <mergeCell ref="CN71:CN73"/>
    <mergeCell ref="CN75:CN77"/>
    <mergeCell ref="CN78:CN80"/>
    <mergeCell ref="CN81:CN83"/>
    <mergeCell ref="CN84:CN86"/>
    <mergeCell ref="CN87:CN89"/>
    <mergeCell ref="CN90:CN92"/>
    <mergeCell ref="BY68:BY70"/>
    <mergeCell ref="BY71:BY73"/>
    <mergeCell ref="BY75:BY77"/>
    <mergeCell ref="BY78:BY80"/>
    <mergeCell ref="BY81:BY83"/>
    <mergeCell ref="BY84:BY86"/>
    <mergeCell ref="BY87:BY89"/>
    <mergeCell ref="BY90:BY92"/>
    <mergeCell ref="BY94:BY96"/>
    <mergeCell ref="BY97:BY99"/>
    <mergeCell ref="BY100:BY101"/>
    <mergeCell ref="BY103:BY105"/>
    <mergeCell ref="BY106:BY108"/>
    <mergeCell ref="BY109:BY111"/>
    <mergeCell ref="BY112:BY114"/>
    <mergeCell ref="BY115:BY117"/>
    <mergeCell ref="CI5:CI7"/>
    <mergeCell ref="CI8:CI10"/>
    <mergeCell ref="CI11:CI13"/>
    <mergeCell ref="CI14:CI16"/>
    <mergeCell ref="CI18:CI20"/>
    <mergeCell ref="CI21:CI23"/>
    <mergeCell ref="CI24:CI26"/>
    <mergeCell ref="CI27:CI29"/>
    <mergeCell ref="CI30:CI32"/>
    <mergeCell ref="CI34:CI36"/>
    <mergeCell ref="CI37:CI39"/>
    <mergeCell ref="CI40:CI42"/>
    <mergeCell ref="CI43:CI45"/>
    <mergeCell ref="CI46:CI48"/>
    <mergeCell ref="CI49:CI51"/>
    <mergeCell ref="CI52:CI54"/>
    <mergeCell ref="BS40:BS42"/>
    <mergeCell ref="BS43:BS45"/>
    <mergeCell ref="BT40:BT42"/>
    <mergeCell ref="BY5:BY7"/>
    <mergeCell ref="BY8:BY10"/>
    <mergeCell ref="BY11:BY13"/>
    <mergeCell ref="BY14:BY16"/>
    <mergeCell ref="BY18:BY20"/>
    <mergeCell ref="BY21:BY23"/>
    <mergeCell ref="BY24:BY26"/>
    <mergeCell ref="BY27:BY29"/>
    <mergeCell ref="BY30:BY32"/>
    <mergeCell ref="BY34:BY36"/>
    <mergeCell ref="BY37:BY39"/>
    <mergeCell ref="BY40:BY42"/>
    <mergeCell ref="BY43:BY45"/>
    <mergeCell ref="BU5:BU7"/>
    <mergeCell ref="BU8:BU10"/>
    <mergeCell ref="BU11:BU13"/>
    <mergeCell ref="BU14:BU16"/>
    <mergeCell ref="BU18:BU20"/>
    <mergeCell ref="BU21:BU23"/>
    <mergeCell ref="BU24:BU26"/>
    <mergeCell ref="BU27:BU29"/>
    <mergeCell ref="BU30:BU32"/>
    <mergeCell ref="BU34:BU36"/>
    <mergeCell ref="BU37:BU39"/>
    <mergeCell ref="BU40:BU42"/>
    <mergeCell ref="BU43:BU45"/>
    <mergeCell ref="FH62:FH64"/>
    <mergeCell ref="FH65:FH67"/>
    <mergeCell ref="FH68:FH70"/>
    <mergeCell ref="EM11:EM13"/>
    <mergeCell ref="EM52:EM54"/>
    <mergeCell ref="EM56:EM58"/>
    <mergeCell ref="FR78:FR80"/>
    <mergeCell ref="BC5:BC7"/>
    <mergeCell ref="BC8:BC10"/>
    <mergeCell ref="BC11:BC13"/>
    <mergeCell ref="BC14:BC16"/>
    <mergeCell ref="BC18:BC20"/>
    <mergeCell ref="BC21:BC23"/>
    <mergeCell ref="BC24:BC26"/>
    <mergeCell ref="BC27:BC29"/>
    <mergeCell ref="BC30:BC32"/>
    <mergeCell ref="BC34:BC36"/>
    <mergeCell ref="BC37:BC39"/>
    <mergeCell ref="BC40:BC42"/>
    <mergeCell ref="BC43:BC45"/>
    <mergeCell ref="BC46:BC48"/>
    <mergeCell ref="BC49:BC51"/>
    <mergeCell ref="BC52:BC54"/>
    <mergeCell ref="BC56:BC58"/>
    <mergeCell ref="BS5:BS7"/>
    <mergeCell ref="BS8:BS10"/>
    <mergeCell ref="BS11:BS13"/>
    <mergeCell ref="BS14:BS16"/>
    <mergeCell ref="BS18:BS20"/>
    <mergeCell ref="BS21:BS23"/>
    <mergeCell ref="BS34:BS36"/>
    <mergeCell ref="BS37:BS39"/>
    <mergeCell ref="FV5:FV7"/>
    <mergeCell ref="FV8:FV10"/>
    <mergeCell ref="EM65:EM67"/>
    <mergeCell ref="EM78:EM80"/>
    <mergeCell ref="EM81:EM83"/>
    <mergeCell ref="EM84:EM86"/>
    <mergeCell ref="EM87:EM89"/>
    <mergeCell ref="EM68:EM70"/>
    <mergeCell ref="EM71:EM73"/>
    <mergeCell ref="EI5:EI7"/>
    <mergeCell ref="EI8:EI10"/>
    <mergeCell ref="EM100:EM101"/>
    <mergeCell ref="EM115:EM117"/>
    <mergeCell ref="EM5:EM7"/>
    <mergeCell ref="EM8:EM10"/>
    <mergeCell ref="FR115:FR117"/>
    <mergeCell ref="FN115:FN117"/>
    <mergeCell ref="FU115:FU117"/>
    <mergeCell ref="FU106:FU108"/>
    <mergeCell ref="FU97:FU99"/>
    <mergeCell ref="FU87:FU89"/>
    <mergeCell ref="FU78:FU80"/>
    <mergeCell ref="FU68:FU70"/>
    <mergeCell ref="FU59:FU61"/>
    <mergeCell ref="FU49:FU51"/>
    <mergeCell ref="FU40:FU42"/>
    <mergeCell ref="FU30:FU32"/>
    <mergeCell ref="FT103:FT105"/>
    <mergeCell ref="FT106:FT108"/>
    <mergeCell ref="FT109:FT111"/>
    <mergeCell ref="EM40:EM42"/>
    <mergeCell ref="EM43:EM45"/>
    <mergeCell ref="GE5:GE7"/>
    <mergeCell ref="GE8:GE10"/>
    <mergeCell ref="GE11:GE13"/>
    <mergeCell ref="GE14:GE16"/>
    <mergeCell ref="GE18:GE20"/>
    <mergeCell ref="GE21:GE23"/>
    <mergeCell ref="GE24:GE26"/>
    <mergeCell ref="GE27:GE29"/>
    <mergeCell ref="GE30:GE32"/>
    <mergeCell ref="GE34:GE36"/>
    <mergeCell ref="GE37:GE39"/>
    <mergeCell ref="GE40:GE42"/>
    <mergeCell ref="GE43:GE45"/>
    <mergeCell ref="GE46:GE48"/>
    <mergeCell ref="GE49:GE51"/>
    <mergeCell ref="GE52:GE54"/>
    <mergeCell ref="GE56:GE58"/>
    <mergeCell ref="EI34:EI36"/>
    <mergeCell ref="EI37:EI39"/>
    <mergeCell ref="EI40:EI42"/>
    <mergeCell ref="EI43:EI45"/>
    <mergeCell ref="EI46:EI48"/>
    <mergeCell ref="EI49:EI51"/>
    <mergeCell ref="EI52:EI54"/>
    <mergeCell ref="EI56:EI58"/>
    <mergeCell ref="EK5:EK7"/>
    <mergeCell ref="EL5:EL7"/>
    <mergeCell ref="EJ34:EJ36"/>
    <mergeCell ref="EK34:EK36"/>
    <mergeCell ref="EL34:EL36"/>
    <mergeCell ref="EI78:EI80"/>
    <mergeCell ref="EI81:EI83"/>
    <mergeCell ref="EI84:EI86"/>
    <mergeCell ref="EI87:EI89"/>
    <mergeCell ref="EI71:EI73"/>
    <mergeCell ref="EI30:EI32"/>
    <mergeCell ref="AU5:AU7"/>
    <mergeCell ref="AU8:AU10"/>
    <mergeCell ref="AU11:AU13"/>
    <mergeCell ref="AU14:AU16"/>
    <mergeCell ref="AU18:AU20"/>
    <mergeCell ref="AU21:AU23"/>
    <mergeCell ref="AU24:AU26"/>
    <mergeCell ref="AU27:AU29"/>
    <mergeCell ref="AU30:AU32"/>
    <mergeCell ref="AU34:AU36"/>
    <mergeCell ref="AU37:AU39"/>
    <mergeCell ref="AU40:AU42"/>
    <mergeCell ref="AU43:AU45"/>
    <mergeCell ref="AU46:AU48"/>
    <mergeCell ref="AU49:AU51"/>
    <mergeCell ref="AU52:AU54"/>
    <mergeCell ref="AU56:AU58"/>
    <mergeCell ref="DZ34:DZ36"/>
    <mergeCell ref="EA34:EA36"/>
    <mergeCell ref="EB34:EB36"/>
    <mergeCell ref="EC34:EC36"/>
    <mergeCell ref="ED34:ED36"/>
    <mergeCell ref="EE34:EE36"/>
    <mergeCell ref="EF34:EF36"/>
    <mergeCell ref="EG34:EG36"/>
    <mergeCell ref="EH34:EH36"/>
    <mergeCell ref="DZ18:DZ20"/>
    <mergeCell ref="EI11:EI13"/>
    <mergeCell ref="EI14:EI16"/>
    <mergeCell ref="EI18:EI20"/>
    <mergeCell ref="EI21:EI23"/>
    <mergeCell ref="FR59:FR61"/>
    <mergeCell ref="AH24:AH26"/>
    <mergeCell ref="AH27:AH29"/>
    <mergeCell ref="AH30:AH32"/>
    <mergeCell ref="AH34:AH36"/>
    <mergeCell ref="AH37:AH39"/>
    <mergeCell ref="AH40:AH42"/>
    <mergeCell ref="AH43:AH45"/>
    <mergeCell ref="AH46:AH48"/>
    <mergeCell ref="AH49:AH51"/>
    <mergeCell ref="AH52:AH54"/>
    <mergeCell ref="AH56:AH58"/>
    <mergeCell ref="AU59:AU61"/>
    <mergeCell ref="AI30:AI32"/>
    <mergeCell ref="FN37:FN39"/>
    <mergeCell ref="FN40:FN42"/>
    <mergeCell ref="FN43:FN45"/>
    <mergeCell ref="FN46:FN48"/>
    <mergeCell ref="AJ46:AJ48"/>
    <mergeCell ref="AK46:AK48"/>
    <mergeCell ref="AL46:AL48"/>
    <mergeCell ref="AM46:AM48"/>
    <mergeCell ref="AN46:AN48"/>
    <mergeCell ref="AI46:AI48"/>
    <mergeCell ref="AL43:AL45"/>
    <mergeCell ref="AM43:AM45"/>
    <mergeCell ref="AN43:AN45"/>
    <mergeCell ref="AO43:AO45"/>
    <mergeCell ref="AP43:AP45"/>
    <mergeCell ref="AJ65:AJ67"/>
    <mergeCell ref="AK65:AK67"/>
    <mergeCell ref="AL65:AL67"/>
    <mergeCell ref="AM65:AM67"/>
    <mergeCell ref="AN65:AN67"/>
    <mergeCell ref="AI65:AI67"/>
    <mergeCell ref="AM62:AM64"/>
    <mergeCell ref="AN62:AN64"/>
    <mergeCell ref="AO62:AO64"/>
    <mergeCell ref="AP62:AP64"/>
    <mergeCell ref="AI59:AI61"/>
    <mergeCell ref="AJ59:AJ61"/>
    <mergeCell ref="AK59:AK61"/>
    <mergeCell ref="AL59:AL61"/>
    <mergeCell ref="AM59:AM61"/>
    <mergeCell ref="AN59:AN61"/>
    <mergeCell ref="AU103:AU105"/>
    <mergeCell ref="FR81:FR83"/>
    <mergeCell ref="FR84:FR86"/>
    <mergeCell ref="FR87:FR89"/>
    <mergeCell ref="FR90:FR92"/>
    <mergeCell ref="FR94:FR96"/>
    <mergeCell ref="FR97:FR99"/>
    <mergeCell ref="FR100:FR101"/>
    <mergeCell ref="DS65:DS67"/>
    <mergeCell ref="DS68:DS70"/>
    <mergeCell ref="DS71:DS73"/>
    <mergeCell ref="DS75:DS77"/>
    <mergeCell ref="Z5:Z7"/>
    <mergeCell ref="Z8:Z10"/>
    <mergeCell ref="Z11:Z13"/>
    <mergeCell ref="Z14:Z16"/>
    <mergeCell ref="Z18:Z20"/>
    <mergeCell ref="Z21:Z23"/>
    <mergeCell ref="Z24:Z26"/>
    <mergeCell ref="Z27:Z29"/>
    <mergeCell ref="Z30:Z32"/>
    <mergeCell ref="Z34:Z36"/>
    <mergeCell ref="Z37:Z39"/>
    <mergeCell ref="Z40:Z42"/>
    <mergeCell ref="Z43:Z45"/>
    <mergeCell ref="Z46:Z48"/>
    <mergeCell ref="Z49:Z51"/>
    <mergeCell ref="Z52:Z54"/>
    <mergeCell ref="AU68:AU70"/>
    <mergeCell ref="AU71:AU73"/>
    <mergeCell ref="AU75:AU77"/>
    <mergeCell ref="AU78:AU80"/>
    <mergeCell ref="EB100:EB101"/>
    <mergeCell ref="EC100:EC101"/>
    <mergeCell ref="ED100:ED101"/>
    <mergeCell ref="EE100:EE101"/>
    <mergeCell ref="EF100:EF101"/>
    <mergeCell ref="EG100:EG101"/>
    <mergeCell ref="EH100:EH101"/>
    <mergeCell ref="EJ100:EJ101"/>
    <mergeCell ref="EK100:EK101"/>
    <mergeCell ref="EL100:EL101"/>
    <mergeCell ref="EN100:EN101"/>
    <mergeCell ref="EO100:EO101"/>
    <mergeCell ref="Z59:Z61"/>
    <mergeCell ref="Z62:Z64"/>
    <mergeCell ref="Z65:Z67"/>
    <mergeCell ref="Z68:Z70"/>
    <mergeCell ref="Z71:Z73"/>
    <mergeCell ref="Z75:Z77"/>
    <mergeCell ref="Z78:Z80"/>
    <mergeCell ref="Z81:Z83"/>
    <mergeCell ref="Z84:Z86"/>
    <mergeCell ref="Z87:Z89"/>
    <mergeCell ref="AH59:AH61"/>
    <mergeCell ref="AH62:AH64"/>
    <mergeCell ref="AH65:AH67"/>
    <mergeCell ref="AU81:AU83"/>
    <mergeCell ref="AU84:AU86"/>
    <mergeCell ref="AU87:AU89"/>
    <mergeCell ref="EI59:EI61"/>
    <mergeCell ref="EI62:EI64"/>
    <mergeCell ref="EI65:EI67"/>
    <mergeCell ref="EI68:EI70"/>
    <mergeCell ref="Z97:Z99"/>
    <mergeCell ref="S24:S26"/>
    <mergeCell ref="S27:S29"/>
    <mergeCell ref="S30:S32"/>
    <mergeCell ref="S34:S36"/>
    <mergeCell ref="S37:S39"/>
    <mergeCell ref="S40:S42"/>
    <mergeCell ref="S43:S45"/>
    <mergeCell ref="S46:S48"/>
    <mergeCell ref="S49:S51"/>
    <mergeCell ref="S52:S54"/>
    <mergeCell ref="DS100:DS101"/>
    <mergeCell ref="FN87:FN89"/>
    <mergeCell ref="FN90:FN92"/>
    <mergeCell ref="FN94:FN96"/>
    <mergeCell ref="AH71:AH73"/>
    <mergeCell ref="AH75:AH77"/>
    <mergeCell ref="AH78:AH80"/>
    <mergeCell ref="S84:S86"/>
    <mergeCell ref="S87:S89"/>
    <mergeCell ref="S90:S92"/>
    <mergeCell ref="S94:S96"/>
    <mergeCell ref="S97:S99"/>
    <mergeCell ref="S100:S101"/>
    <mergeCell ref="S56:S58"/>
    <mergeCell ref="S59:S61"/>
    <mergeCell ref="S62:S64"/>
    <mergeCell ref="S65:S67"/>
    <mergeCell ref="S75:S77"/>
    <mergeCell ref="S78:S80"/>
    <mergeCell ref="DZ100:DZ101"/>
    <mergeCell ref="EA100:EA101"/>
    <mergeCell ref="FR62:FR64"/>
    <mergeCell ref="FR65:FR67"/>
    <mergeCell ref="Z56:Z58"/>
    <mergeCell ref="AH84:AH86"/>
    <mergeCell ref="AH87:AH89"/>
    <mergeCell ref="FR5:FR7"/>
    <mergeCell ref="FR8:FR10"/>
    <mergeCell ref="FR11:FR13"/>
    <mergeCell ref="FR14:FR16"/>
    <mergeCell ref="FR18:FR20"/>
    <mergeCell ref="FR21:FR23"/>
    <mergeCell ref="FR24:FR26"/>
    <mergeCell ref="FR27:FR29"/>
    <mergeCell ref="FR30:FR32"/>
    <mergeCell ref="FR34:FR36"/>
    <mergeCell ref="FR37:FR39"/>
    <mergeCell ref="FR40:FR42"/>
    <mergeCell ref="FR43:FR45"/>
    <mergeCell ref="FR46:FR48"/>
    <mergeCell ref="FR49:FR51"/>
    <mergeCell ref="FR52:FR54"/>
    <mergeCell ref="FR56:FR58"/>
    <mergeCell ref="FN5:FN7"/>
    <mergeCell ref="FN8:FN10"/>
    <mergeCell ref="FN11:FN13"/>
    <mergeCell ref="FN14:FN16"/>
    <mergeCell ref="FN18:FN20"/>
    <mergeCell ref="FN21:FN23"/>
    <mergeCell ref="FN24:FN26"/>
    <mergeCell ref="FN27:FN29"/>
    <mergeCell ref="FN30:FN32"/>
    <mergeCell ref="FN34:FN36"/>
    <mergeCell ref="DS115:DS117"/>
    <mergeCell ref="P75:P77"/>
    <mergeCell ref="P78:P80"/>
    <mergeCell ref="P81:P83"/>
    <mergeCell ref="P84:P86"/>
    <mergeCell ref="P87:P89"/>
    <mergeCell ref="P90:P92"/>
    <mergeCell ref="P94:P96"/>
    <mergeCell ref="P97:P99"/>
    <mergeCell ref="P100:P101"/>
    <mergeCell ref="P103:P105"/>
    <mergeCell ref="P106:P108"/>
    <mergeCell ref="P109:P111"/>
    <mergeCell ref="P112:P114"/>
    <mergeCell ref="P115:P117"/>
    <mergeCell ref="P59:P61"/>
    <mergeCell ref="P62:P64"/>
    <mergeCell ref="P65:P67"/>
    <mergeCell ref="P68:P70"/>
    <mergeCell ref="P71:P73"/>
    <mergeCell ref="DK100:DK101"/>
    <mergeCell ref="DK103:DK105"/>
    <mergeCell ref="DK106:DK108"/>
    <mergeCell ref="DK109:DK111"/>
    <mergeCell ref="DK112:DK114"/>
    <mergeCell ref="DK115:DK117"/>
    <mergeCell ref="DI100:DI101"/>
    <mergeCell ref="DH100:DH101"/>
    <mergeCell ref="DF100:DF101"/>
    <mergeCell ref="DG100:DG101"/>
    <mergeCell ref="CU100:CU101"/>
    <mergeCell ref="Z90:Z92"/>
    <mergeCell ref="P8:P10"/>
    <mergeCell ref="P11:P13"/>
    <mergeCell ref="P14:P16"/>
    <mergeCell ref="P18:P20"/>
    <mergeCell ref="P21:P23"/>
    <mergeCell ref="P24:P26"/>
    <mergeCell ref="P27:P29"/>
    <mergeCell ref="P30:P32"/>
    <mergeCell ref="P34:P36"/>
    <mergeCell ref="P37:P39"/>
    <mergeCell ref="P40:P42"/>
    <mergeCell ref="P43:P45"/>
    <mergeCell ref="P46:P48"/>
    <mergeCell ref="P49:P51"/>
    <mergeCell ref="P52:P54"/>
    <mergeCell ref="P56:P58"/>
    <mergeCell ref="DS5:DS7"/>
    <mergeCell ref="DS8:DS10"/>
    <mergeCell ref="DS11:DS13"/>
    <mergeCell ref="DS14:DS16"/>
    <mergeCell ref="DS18:DS20"/>
    <mergeCell ref="DS21:DS23"/>
    <mergeCell ref="DS24:DS26"/>
    <mergeCell ref="DS27:DS29"/>
    <mergeCell ref="DS30:DS32"/>
    <mergeCell ref="DS34:DS36"/>
    <mergeCell ref="DS37:DS39"/>
    <mergeCell ref="DS40:DS42"/>
    <mergeCell ref="DS43:DS45"/>
    <mergeCell ref="DS46:DS48"/>
    <mergeCell ref="DS49:DS51"/>
    <mergeCell ref="DS52:DS54"/>
    <mergeCell ref="FN49:FN51"/>
    <mergeCell ref="FN52:FN54"/>
    <mergeCell ref="FN56:FN58"/>
    <mergeCell ref="FN59:FN61"/>
    <mergeCell ref="FN62:FN64"/>
    <mergeCell ref="FN78:FN80"/>
    <mergeCell ref="FN81:FN83"/>
    <mergeCell ref="FN84:FN86"/>
    <mergeCell ref="FM112:FM114"/>
    <mergeCell ref="FM115:FM117"/>
    <mergeCell ref="FM100:FM101"/>
    <mergeCell ref="FM103:FM105"/>
    <mergeCell ref="FM106:FM108"/>
    <mergeCell ref="FM109:FM111"/>
    <mergeCell ref="FN112:FN114"/>
    <mergeCell ref="FM5:FM7"/>
    <mergeCell ref="FM8:FM10"/>
    <mergeCell ref="FM11:FM13"/>
    <mergeCell ref="FM14:FM16"/>
    <mergeCell ref="FM18:FM20"/>
    <mergeCell ref="FM21:FM23"/>
    <mergeCell ref="FM24:FM26"/>
    <mergeCell ref="FM27:FM29"/>
    <mergeCell ref="FM30:FM32"/>
    <mergeCell ref="FM34:FM36"/>
    <mergeCell ref="FM37:FM39"/>
    <mergeCell ref="FM40:FM42"/>
    <mergeCell ref="FM43:FM45"/>
    <mergeCell ref="FM46:FM48"/>
    <mergeCell ref="FM49:FM51"/>
    <mergeCell ref="FM52:FM54"/>
    <mergeCell ref="FM56:FM58"/>
    <mergeCell ref="H112:H114"/>
    <mergeCell ref="H115:H117"/>
    <mergeCell ref="DK5:DK7"/>
    <mergeCell ref="DK8:DK10"/>
    <mergeCell ref="DK11:DK13"/>
    <mergeCell ref="DK14:DK16"/>
    <mergeCell ref="DK18:DK20"/>
    <mergeCell ref="DK21:DK23"/>
    <mergeCell ref="DK24:DK26"/>
    <mergeCell ref="DK27:DK29"/>
    <mergeCell ref="DK30:DK32"/>
    <mergeCell ref="DK34:DK36"/>
    <mergeCell ref="DK37:DK39"/>
    <mergeCell ref="DK40:DK42"/>
    <mergeCell ref="DK43:DK45"/>
    <mergeCell ref="DK46:DK48"/>
    <mergeCell ref="DK49:DK51"/>
    <mergeCell ref="DK52:DK54"/>
    <mergeCell ref="DK56:DK58"/>
    <mergeCell ref="DK59:DK61"/>
    <mergeCell ref="DK62:DK64"/>
    <mergeCell ref="DK65:DK67"/>
    <mergeCell ref="DK68:DK70"/>
    <mergeCell ref="DK71:DK73"/>
    <mergeCell ref="DK75:DK77"/>
    <mergeCell ref="DK78:DK80"/>
    <mergeCell ref="DK81:DK83"/>
    <mergeCell ref="DK84:DK86"/>
    <mergeCell ref="DK87:DK89"/>
    <mergeCell ref="H59:H61"/>
    <mergeCell ref="H62:H64"/>
    <mergeCell ref="H65:H67"/>
    <mergeCell ref="H109:H111"/>
    <mergeCell ref="H5:H7"/>
    <mergeCell ref="H8:H10"/>
    <mergeCell ref="H11:H13"/>
    <mergeCell ref="H14:H16"/>
    <mergeCell ref="H18:H20"/>
    <mergeCell ref="H21:H23"/>
    <mergeCell ref="H24:H26"/>
    <mergeCell ref="H27:H29"/>
    <mergeCell ref="H30:H32"/>
    <mergeCell ref="H34:H36"/>
    <mergeCell ref="H37:H39"/>
    <mergeCell ref="H40:H42"/>
    <mergeCell ref="H43:H45"/>
    <mergeCell ref="H46:H48"/>
    <mergeCell ref="H49:H51"/>
    <mergeCell ref="H52:H54"/>
    <mergeCell ref="H56:H58"/>
    <mergeCell ref="HB112:HB114"/>
    <mergeCell ref="HB115:HB117"/>
    <mergeCell ref="HB59:HB61"/>
    <mergeCell ref="HB62:HB64"/>
    <mergeCell ref="HB65:HB67"/>
    <mergeCell ref="HB68:HB70"/>
    <mergeCell ref="HB71:HB73"/>
    <mergeCell ref="HB75:HB77"/>
    <mergeCell ref="HB78:HB80"/>
    <mergeCell ref="HB81:HB83"/>
    <mergeCell ref="HB84:HB86"/>
    <mergeCell ref="HB87:HB89"/>
    <mergeCell ref="HB90:HB92"/>
    <mergeCell ref="HB94:HB96"/>
    <mergeCell ref="HB97:HB99"/>
    <mergeCell ref="HB100:HB101"/>
    <mergeCell ref="HB103:HB105"/>
    <mergeCell ref="HB106:HB108"/>
    <mergeCell ref="HB109:HB111"/>
    <mergeCell ref="GV115:GV117"/>
    <mergeCell ref="GW115:GW117"/>
    <mergeCell ref="GX115:GX117"/>
    <mergeCell ref="GY115:GY117"/>
    <mergeCell ref="GZ115:GZ117"/>
    <mergeCell ref="HB5:HB7"/>
    <mergeCell ref="HB8:HB10"/>
    <mergeCell ref="HB11:HB13"/>
    <mergeCell ref="HB14:HB16"/>
    <mergeCell ref="HB18:HB20"/>
    <mergeCell ref="HB21:HB23"/>
    <mergeCell ref="HB24:HB26"/>
    <mergeCell ref="HB27:HB29"/>
    <mergeCell ref="HB30:HB32"/>
    <mergeCell ref="HB34:HB36"/>
    <mergeCell ref="HB37:HB39"/>
    <mergeCell ref="HB40:HB42"/>
    <mergeCell ref="HB43:HB45"/>
    <mergeCell ref="HB46:HB48"/>
    <mergeCell ref="HB49:HB51"/>
    <mergeCell ref="HB52:HB54"/>
    <mergeCell ref="HB56:HB58"/>
    <mergeCell ref="GV97:GV99"/>
    <mergeCell ref="GW97:GW99"/>
    <mergeCell ref="GX97:GX99"/>
    <mergeCell ref="GY97:GY99"/>
    <mergeCell ref="GZ97:GZ99"/>
    <mergeCell ref="GV100:GV101"/>
    <mergeCell ref="GW100:GW101"/>
    <mergeCell ref="GX100:GX101"/>
    <mergeCell ref="GY100:GY101"/>
    <mergeCell ref="GZ100:GZ101"/>
    <mergeCell ref="GY84:GY86"/>
    <mergeCell ref="GZ84:GZ86"/>
    <mergeCell ref="GV87:GV89"/>
    <mergeCell ref="GW87:GW89"/>
    <mergeCell ref="GX87:GX89"/>
    <mergeCell ref="GY87:GY89"/>
    <mergeCell ref="GZ87:GZ89"/>
    <mergeCell ref="GV90:GV92"/>
    <mergeCell ref="GW90:GW92"/>
    <mergeCell ref="GX90:GX92"/>
    <mergeCell ref="GY90:GY92"/>
    <mergeCell ref="GZ90:GZ92"/>
    <mergeCell ref="GV94:GV96"/>
    <mergeCell ref="GW94:GW96"/>
    <mergeCell ref="GX94:GX96"/>
    <mergeCell ref="GY94:GY96"/>
    <mergeCell ref="GZ94:GZ96"/>
    <mergeCell ref="GV71:GV73"/>
    <mergeCell ref="GW71:GW73"/>
    <mergeCell ref="GX71:GX73"/>
    <mergeCell ref="GY71:GY73"/>
    <mergeCell ref="GZ71:GZ73"/>
    <mergeCell ref="GV75:GV77"/>
    <mergeCell ref="GW75:GW77"/>
    <mergeCell ref="GX75:GX77"/>
    <mergeCell ref="GY75:GY77"/>
    <mergeCell ref="GZ75:GZ77"/>
    <mergeCell ref="GV78:GV80"/>
    <mergeCell ref="GW78:GW80"/>
    <mergeCell ref="GX78:GX80"/>
    <mergeCell ref="GY78:GY80"/>
    <mergeCell ref="GZ78:GZ80"/>
    <mergeCell ref="GV81:GV83"/>
    <mergeCell ref="GW81:GW83"/>
    <mergeCell ref="GX81:GX83"/>
    <mergeCell ref="GY81:GY83"/>
    <mergeCell ref="GZ81:GZ83"/>
    <mergeCell ref="GV59:GV61"/>
    <mergeCell ref="GW59:GW61"/>
    <mergeCell ref="GX59:GX61"/>
    <mergeCell ref="GY59:GY61"/>
    <mergeCell ref="GZ59:GZ61"/>
    <mergeCell ref="GV62:GV64"/>
    <mergeCell ref="GW62:GW64"/>
    <mergeCell ref="GX62:GX64"/>
    <mergeCell ref="GY62:GY64"/>
    <mergeCell ref="GZ62:GZ64"/>
    <mergeCell ref="GV65:GV67"/>
    <mergeCell ref="GW65:GW67"/>
    <mergeCell ref="GX65:GX67"/>
    <mergeCell ref="GY65:GY67"/>
    <mergeCell ref="GZ65:GZ67"/>
    <mergeCell ref="GV68:GV70"/>
    <mergeCell ref="GW68:GW70"/>
    <mergeCell ref="GX68:GX70"/>
    <mergeCell ref="GY68:GY70"/>
    <mergeCell ref="GZ68:GZ70"/>
    <mergeCell ref="GV46:GV48"/>
    <mergeCell ref="GW46:GW48"/>
    <mergeCell ref="GX46:GX48"/>
    <mergeCell ref="GY46:GY48"/>
    <mergeCell ref="GZ46:GZ48"/>
    <mergeCell ref="GV49:GV51"/>
    <mergeCell ref="GW49:GW51"/>
    <mergeCell ref="GX49:GX51"/>
    <mergeCell ref="GY49:GY51"/>
    <mergeCell ref="GZ49:GZ51"/>
    <mergeCell ref="GV52:GV54"/>
    <mergeCell ref="GW52:GW54"/>
    <mergeCell ref="GX52:GX54"/>
    <mergeCell ref="GY52:GY54"/>
    <mergeCell ref="GZ52:GZ54"/>
    <mergeCell ref="GV56:GV58"/>
    <mergeCell ref="GW56:GW58"/>
    <mergeCell ref="GX56:GX58"/>
    <mergeCell ref="GY56:GY58"/>
    <mergeCell ref="GZ56:GZ58"/>
    <mergeCell ref="GV34:GV36"/>
    <mergeCell ref="GW34:GW36"/>
    <mergeCell ref="GX34:GX36"/>
    <mergeCell ref="GY34:GY36"/>
    <mergeCell ref="GZ34:GZ36"/>
    <mergeCell ref="GV37:GV39"/>
    <mergeCell ref="GW37:GW39"/>
    <mergeCell ref="GX37:GX39"/>
    <mergeCell ref="GY37:GY39"/>
    <mergeCell ref="GZ37:GZ39"/>
    <mergeCell ref="GV40:GV42"/>
    <mergeCell ref="GW40:GW42"/>
    <mergeCell ref="GX40:GX42"/>
    <mergeCell ref="GY40:GY42"/>
    <mergeCell ref="GZ40:GZ42"/>
    <mergeCell ref="GV43:GV45"/>
    <mergeCell ref="GW43:GW45"/>
    <mergeCell ref="GX43:GX45"/>
    <mergeCell ref="GY43:GY45"/>
    <mergeCell ref="GZ43:GZ45"/>
    <mergeCell ref="GW21:GW23"/>
    <mergeCell ref="GX21:GX23"/>
    <mergeCell ref="GY21:GY23"/>
    <mergeCell ref="GZ21:GZ23"/>
    <mergeCell ref="GV24:GV26"/>
    <mergeCell ref="GW24:GW26"/>
    <mergeCell ref="GX24:GX26"/>
    <mergeCell ref="GY24:GY26"/>
    <mergeCell ref="GZ24:GZ26"/>
    <mergeCell ref="GV27:GV29"/>
    <mergeCell ref="GW27:GW29"/>
    <mergeCell ref="GX27:GX29"/>
    <mergeCell ref="GY27:GY29"/>
    <mergeCell ref="GZ27:GZ29"/>
    <mergeCell ref="GV30:GV32"/>
    <mergeCell ref="GW30:GW32"/>
    <mergeCell ref="GX30:GX32"/>
    <mergeCell ref="GY30:GY32"/>
    <mergeCell ref="GZ30:GZ32"/>
    <mergeCell ref="GO115:GO117"/>
    <mergeCell ref="GP115:GP117"/>
    <mergeCell ref="GQ115:GQ117"/>
    <mergeCell ref="GR115:GR117"/>
    <mergeCell ref="GT115:GT117"/>
    <mergeCell ref="GU115:GU117"/>
    <mergeCell ref="GV5:GV7"/>
    <mergeCell ref="GW5:GW7"/>
    <mergeCell ref="GX5:GX7"/>
    <mergeCell ref="GY5:GY7"/>
    <mergeCell ref="GZ5:GZ7"/>
    <mergeCell ref="GV8:GV10"/>
    <mergeCell ref="GW8:GW10"/>
    <mergeCell ref="GX8:GX10"/>
    <mergeCell ref="GY8:GY10"/>
    <mergeCell ref="GZ8:GZ10"/>
    <mergeCell ref="GV11:GV13"/>
    <mergeCell ref="GW11:GW13"/>
    <mergeCell ref="GX11:GX13"/>
    <mergeCell ref="GY11:GY13"/>
    <mergeCell ref="GZ11:GZ13"/>
    <mergeCell ref="GV14:GV16"/>
    <mergeCell ref="GW14:GW16"/>
    <mergeCell ref="GX14:GX16"/>
    <mergeCell ref="GY14:GY16"/>
    <mergeCell ref="GZ14:GZ16"/>
    <mergeCell ref="GV18:GV20"/>
    <mergeCell ref="GW18:GW20"/>
    <mergeCell ref="GX18:GX20"/>
    <mergeCell ref="GY18:GY20"/>
    <mergeCell ref="GZ18:GZ20"/>
    <mergeCell ref="GV21:GV23"/>
    <mergeCell ref="GO106:GO108"/>
    <mergeCell ref="GP106:GP108"/>
    <mergeCell ref="GQ106:GQ108"/>
    <mergeCell ref="GR106:GR108"/>
    <mergeCell ref="GT106:GT108"/>
    <mergeCell ref="GU106:GU108"/>
    <mergeCell ref="GO109:GO111"/>
    <mergeCell ref="GP109:GP111"/>
    <mergeCell ref="GQ109:GQ111"/>
    <mergeCell ref="GR109:GR111"/>
    <mergeCell ref="GT109:GT111"/>
    <mergeCell ref="GU109:GU111"/>
    <mergeCell ref="GO112:GO114"/>
    <mergeCell ref="GP112:GP114"/>
    <mergeCell ref="GQ112:GQ114"/>
    <mergeCell ref="GR112:GR114"/>
    <mergeCell ref="GT112:GT114"/>
    <mergeCell ref="GU112:GU114"/>
    <mergeCell ref="GS106:GS108"/>
    <mergeCell ref="GS109:GS111"/>
    <mergeCell ref="GS112:GS114"/>
    <mergeCell ref="GO97:GO99"/>
    <mergeCell ref="GP97:GP99"/>
    <mergeCell ref="GQ97:GQ99"/>
    <mergeCell ref="GR97:GR99"/>
    <mergeCell ref="GT97:GT99"/>
    <mergeCell ref="GU97:GU99"/>
    <mergeCell ref="GO100:GO101"/>
    <mergeCell ref="GP100:GP101"/>
    <mergeCell ref="GQ100:GQ101"/>
    <mergeCell ref="GR100:GR101"/>
    <mergeCell ref="GT100:GT101"/>
    <mergeCell ref="GU100:GU101"/>
    <mergeCell ref="GO103:GO105"/>
    <mergeCell ref="GP103:GP105"/>
    <mergeCell ref="GQ103:GQ105"/>
    <mergeCell ref="GR103:GR105"/>
    <mergeCell ref="GT103:GT105"/>
    <mergeCell ref="GU103:GU105"/>
    <mergeCell ref="GS97:GS99"/>
    <mergeCell ref="GS100:GS101"/>
    <mergeCell ref="GS103:GS105"/>
    <mergeCell ref="GO87:GO89"/>
    <mergeCell ref="GP87:GP89"/>
    <mergeCell ref="GQ87:GQ89"/>
    <mergeCell ref="GR87:GR89"/>
    <mergeCell ref="GT87:GT89"/>
    <mergeCell ref="GU87:GU89"/>
    <mergeCell ref="GO90:GO92"/>
    <mergeCell ref="GP90:GP92"/>
    <mergeCell ref="GQ90:GQ92"/>
    <mergeCell ref="GR90:GR92"/>
    <mergeCell ref="GT90:GT92"/>
    <mergeCell ref="GU90:GU92"/>
    <mergeCell ref="GO94:GO96"/>
    <mergeCell ref="GP94:GP96"/>
    <mergeCell ref="GQ94:GQ96"/>
    <mergeCell ref="GR94:GR96"/>
    <mergeCell ref="GT94:GT96"/>
    <mergeCell ref="GU94:GU96"/>
    <mergeCell ref="GS87:GS89"/>
    <mergeCell ref="GS90:GS92"/>
    <mergeCell ref="GS94:GS96"/>
    <mergeCell ref="GO78:GO80"/>
    <mergeCell ref="GP78:GP80"/>
    <mergeCell ref="GQ78:GQ80"/>
    <mergeCell ref="GR78:GR80"/>
    <mergeCell ref="GT78:GT80"/>
    <mergeCell ref="GU78:GU80"/>
    <mergeCell ref="GO81:GO83"/>
    <mergeCell ref="GP81:GP83"/>
    <mergeCell ref="GQ81:GQ83"/>
    <mergeCell ref="GR81:GR83"/>
    <mergeCell ref="GT81:GT83"/>
    <mergeCell ref="GU81:GU83"/>
    <mergeCell ref="GO84:GO86"/>
    <mergeCell ref="GP84:GP86"/>
    <mergeCell ref="GQ84:GQ86"/>
    <mergeCell ref="GR84:GR86"/>
    <mergeCell ref="GT84:GT86"/>
    <mergeCell ref="GU84:GU86"/>
    <mergeCell ref="GS78:GS80"/>
    <mergeCell ref="GS81:GS83"/>
    <mergeCell ref="GS84:GS86"/>
    <mergeCell ref="GO68:GO70"/>
    <mergeCell ref="GP68:GP70"/>
    <mergeCell ref="GQ68:GQ70"/>
    <mergeCell ref="GR68:GR70"/>
    <mergeCell ref="GT68:GT70"/>
    <mergeCell ref="GU68:GU70"/>
    <mergeCell ref="GO71:GO73"/>
    <mergeCell ref="GP71:GP73"/>
    <mergeCell ref="GQ71:GQ73"/>
    <mergeCell ref="GR71:GR73"/>
    <mergeCell ref="GT71:GT73"/>
    <mergeCell ref="GU71:GU73"/>
    <mergeCell ref="GO75:GO77"/>
    <mergeCell ref="GP75:GP77"/>
    <mergeCell ref="GQ75:GQ77"/>
    <mergeCell ref="GR75:GR77"/>
    <mergeCell ref="GT75:GT77"/>
    <mergeCell ref="GU75:GU77"/>
    <mergeCell ref="GS68:GS70"/>
    <mergeCell ref="GS71:GS73"/>
    <mergeCell ref="GS75:GS77"/>
    <mergeCell ref="GO59:GO61"/>
    <mergeCell ref="GP59:GP61"/>
    <mergeCell ref="GQ59:GQ61"/>
    <mergeCell ref="GR59:GR61"/>
    <mergeCell ref="GT59:GT61"/>
    <mergeCell ref="GU59:GU61"/>
    <mergeCell ref="GO62:GO64"/>
    <mergeCell ref="GP62:GP64"/>
    <mergeCell ref="GQ62:GQ64"/>
    <mergeCell ref="GR62:GR64"/>
    <mergeCell ref="GT62:GT64"/>
    <mergeCell ref="GU62:GU64"/>
    <mergeCell ref="GO65:GO67"/>
    <mergeCell ref="GP65:GP67"/>
    <mergeCell ref="GQ65:GQ67"/>
    <mergeCell ref="GR65:GR67"/>
    <mergeCell ref="GT65:GT67"/>
    <mergeCell ref="GU65:GU67"/>
    <mergeCell ref="GS65:GS67"/>
    <mergeCell ref="GS59:GS61"/>
    <mergeCell ref="GS62:GS64"/>
    <mergeCell ref="GO49:GO51"/>
    <mergeCell ref="GP49:GP51"/>
    <mergeCell ref="GQ49:GQ51"/>
    <mergeCell ref="GR49:GR51"/>
    <mergeCell ref="GT49:GT51"/>
    <mergeCell ref="GU49:GU51"/>
    <mergeCell ref="GO52:GO54"/>
    <mergeCell ref="GP52:GP54"/>
    <mergeCell ref="GQ52:GQ54"/>
    <mergeCell ref="GR52:GR54"/>
    <mergeCell ref="GT52:GT54"/>
    <mergeCell ref="GU52:GU54"/>
    <mergeCell ref="GO56:GO58"/>
    <mergeCell ref="GP56:GP58"/>
    <mergeCell ref="GQ56:GQ58"/>
    <mergeCell ref="GR56:GR58"/>
    <mergeCell ref="GT56:GT58"/>
    <mergeCell ref="GU56:GU58"/>
    <mergeCell ref="GO40:GO42"/>
    <mergeCell ref="GP40:GP42"/>
    <mergeCell ref="GQ40:GQ42"/>
    <mergeCell ref="GR40:GR42"/>
    <mergeCell ref="GT40:GT42"/>
    <mergeCell ref="GU40:GU42"/>
    <mergeCell ref="GO43:GO45"/>
    <mergeCell ref="GP43:GP45"/>
    <mergeCell ref="GQ43:GQ45"/>
    <mergeCell ref="GR43:GR45"/>
    <mergeCell ref="GT43:GT45"/>
    <mergeCell ref="GU43:GU45"/>
    <mergeCell ref="GO46:GO48"/>
    <mergeCell ref="GP46:GP48"/>
    <mergeCell ref="GQ46:GQ48"/>
    <mergeCell ref="GR46:GR48"/>
    <mergeCell ref="GT46:GT48"/>
    <mergeCell ref="GU46:GU48"/>
    <mergeCell ref="GO30:GO32"/>
    <mergeCell ref="GP30:GP32"/>
    <mergeCell ref="GQ30:GQ32"/>
    <mergeCell ref="GR30:GR32"/>
    <mergeCell ref="GT30:GT32"/>
    <mergeCell ref="GU30:GU32"/>
    <mergeCell ref="GO34:GO36"/>
    <mergeCell ref="GP34:GP36"/>
    <mergeCell ref="GQ34:GQ36"/>
    <mergeCell ref="GR34:GR36"/>
    <mergeCell ref="GT34:GT36"/>
    <mergeCell ref="GU34:GU36"/>
    <mergeCell ref="GO37:GO39"/>
    <mergeCell ref="GP37:GP39"/>
    <mergeCell ref="GQ37:GQ39"/>
    <mergeCell ref="GR37:GR39"/>
    <mergeCell ref="GT37:GT39"/>
    <mergeCell ref="GU37:GU39"/>
    <mergeCell ref="GQ18:GQ20"/>
    <mergeCell ref="GR18:GR20"/>
    <mergeCell ref="GT18:GT20"/>
    <mergeCell ref="GU18:GU20"/>
    <mergeCell ref="GO21:GO23"/>
    <mergeCell ref="GP21:GP23"/>
    <mergeCell ref="GQ21:GQ23"/>
    <mergeCell ref="GR21:GR23"/>
    <mergeCell ref="GT21:GT23"/>
    <mergeCell ref="GU21:GU23"/>
    <mergeCell ref="GO24:GO26"/>
    <mergeCell ref="GP24:GP26"/>
    <mergeCell ref="GQ24:GQ26"/>
    <mergeCell ref="GR24:GR26"/>
    <mergeCell ref="GT24:GT26"/>
    <mergeCell ref="GU24:GU26"/>
    <mergeCell ref="GO27:GO29"/>
    <mergeCell ref="GP27:GP29"/>
    <mergeCell ref="GQ27:GQ29"/>
    <mergeCell ref="GR27:GR29"/>
    <mergeCell ref="GT27:GT29"/>
    <mergeCell ref="GU27:GU29"/>
    <mergeCell ref="GI115:GI117"/>
    <mergeCell ref="GJ115:GJ117"/>
    <mergeCell ref="GK115:GK117"/>
    <mergeCell ref="GL115:GL117"/>
    <mergeCell ref="GM115:GM117"/>
    <mergeCell ref="GN115:GN117"/>
    <mergeCell ref="GO5:GO7"/>
    <mergeCell ref="GP5:GP7"/>
    <mergeCell ref="GQ5:GQ7"/>
    <mergeCell ref="GR5:GR7"/>
    <mergeCell ref="GT5:GT7"/>
    <mergeCell ref="GU5:GU7"/>
    <mergeCell ref="GO8:GO10"/>
    <mergeCell ref="GP8:GP10"/>
    <mergeCell ref="GQ8:GQ10"/>
    <mergeCell ref="GR8:GR10"/>
    <mergeCell ref="GT8:GT10"/>
    <mergeCell ref="GU8:GU10"/>
    <mergeCell ref="GO11:GO13"/>
    <mergeCell ref="GP11:GP13"/>
    <mergeCell ref="GQ11:GQ13"/>
    <mergeCell ref="GR11:GR13"/>
    <mergeCell ref="GT11:GT13"/>
    <mergeCell ref="GU11:GU13"/>
    <mergeCell ref="GO14:GO16"/>
    <mergeCell ref="GP14:GP16"/>
    <mergeCell ref="GQ14:GQ16"/>
    <mergeCell ref="GR14:GR16"/>
    <mergeCell ref="GT14:GT16"/>
    <mergeCell ref="GU14:GU16"/>
    <mergeCell ref="GO18:GO20"/>
    <mergeCell ref="GP18:GP20"/>
    <mergeCell ref="GI106:GI108"/>
    <mergeCell ref="GJ106:GJ108"/>
    <mergeCell ref="GK106:GK108"/>
    <mergeCell ref="GL106:GL108"/>
    <mergeCell ref="GM106:GM108"/>
    <mergeCell ref="GN106:GN108"/>
    <mergeCell ref="GI109:GI111"/>
    <mergeCell ref="GJ109:GJ111"/>
    <mergeCell ref="GK109:GK111"/>
    <mergeCell ref="GL109:GL111"/>
    <mergeCell ref="GM109:GM111"/>
    <mergeCell ref="GN109:GN111"/>
    <mergeCell ref="GI112:GI114"/>
    <mergeCell ref="GJ112:GJ114"/>
    <mergeCell ref="GK112:GK114"/>
    <mergeCell ref="GL112:GL114"/>
    <mergeCell ref="GM112:GM114"/>
    <mergeCell ref="GN112:GN114"/>
    <mergeCell ref="GI97:GI99"/>
    <mergeCell ref="GJ97:GJ99"/>
    <mergeCell ref="GK97:GK99"/>
    <mergeCell ref="GL97:GL99"/>
    <mergeCell ref="GM97:GM99"/>
    <mergeCell ref="GN97:GN99"/>
    <mergeCell ref="GI100:GI101"/>
    <mergeCell ref="GJ100:GJ101"/>
    <mergeCell ref="GK100:GK101"/>
    <mergeCell ref="GL100:GL101"/>
    <mergeCell ref="GM100:GM101"/>
    <mergeCell ref="GN100:GN101"/>
    <mergeCell ref="GI103:GI105"/>
    <mergeCell ref="GJ103:GJ105"/>
    <mergeCell ref="GK103:GK105"/>
    <mergeCell ref="GL103:GL105"/>
    <mergeCell ref="GM103:GM105"/>
    <mergeCell ref="GN103:GN105"/>
    <mergeCell ref="GI87:GI89"/>
    <mergeCell ref="GJ87:GJ89"/>
    <mergeCell ref="GK87:GK89"/>
    <mergeCell ref="GL87:GL89"/>
    <mergeCell ref="GM87:GM89"/>
    <mergeCell ref="GN87:GN89"/>
    <mergeCell ref="GI90:GI92"/>
    <mergeCell ref="GJ90:GJ92"/>
    <mergeCell ref="GK90:GK92"/>
    <mergeCell ref="GL90:GL92"/>
    <mergeCell ref="GM90:GM92"/>
    <mergeCell ref="GN90:GN92"/>
    <mergeCell ref="GI94:GI96"/>
    <mergeCell ref="GJ94:GJ96"/>
    <mergeCell ref="GK94:GK96"/>
    <mergeCell ref="GL94:GL96"/>
    <mergeCell ref="GM94:GM96"/>
    <mergeCell ref="GN94:GN96"/>
    <mergeCell ref="GI78:GI80"/>
    <mergeCell ref="GJ78:GJ80"/>
    <mergeCell ref="GK78:GK80"/>
    <mergeCell ref="GL78:GL80"/>
    <mergeCell ref="GM78:GM80"/>
    <mergeCell ref="GN78:GN80"/>
    <mergeCell ref="GI81:GI83"/>
    <mergeCell ref="GJ81:GJ83"/>
    <mergeCell ref="GK81:GK83"/>
    <mergeCell ref="GL81:GL83"/>
    <mergeCell ref="GM81:GM83"/>
    <mergeCell ref="GN81:GN83"/>
    <mergeCell ref="GI84:GI86"/>
    <mergeCell ref="GJ84:GJ86"/>
    <mergeCell ref="GK84:GK86"/>
    <mergeCell ref="GL84:GL86"/>
    <mergeCell ref="GM84:GM86"/>
    <mergeCell ref="GN84:GN86"/>
    <mergeCell ref="GI68:GI70"/>
    <mergeCell ref="GJ68:GJ70"/>
    <mergeCell ref="GK68:GK70"/>
    <mergeCell ref="GL68:GL70"/>
    <mergeCell ref="GM68:GM70"/>
    <mergeCell ref="GN68:GN70"/>
    <mergeCell ref="GI71:GI73"/>
    <mergeCell ref="GJ71:GJ73"/>
    <mergeCell ref="GK71:GK73"/>
    <mergeCell ref="GL71:GL73"/>
    <mergeCell ref="GM71:GM73"/>
    <mergeCell ref="GN71:GN73"/>
    <mergeCell ref="GI75:GI77"/>
    <mergeCell ref="GJ75:GJ77"/>
    <mergeCell ref="GK75:GK77"/>
    <mergeCell ref="GL75:GL77"/>
    <mergeCell ref="GM75:GM77"/>
    <mergeCell ref="GN75:GN77"/>
    <mergeCell ref="GI59:GI61"/>
    <mergeCell ref="GJ59:GJ61"/>
    <mergeCell ref="GK59:GK61"/>
    <mergeCell ref="GL59:GL61"/>
    <mergeCell ref="GM59:GM61"/>
    <mergeCell ref="GN59:GN61"/>
    <mergeCell ref="GI62:GI64"/>
    <mergeCell ref="GJ62:GJ64"/>
    <mergeCell ref="GK62:GK64"/>
    <mergeCell ref="GL62:GL64"/>
    <mergeCell ref="GM62:GM64"/>
    <mergeCell ref="GN62:GN64"/>
    <mergeCell ref="GI65:GI67"/>
    <mergeCell ref="GJ65:GJ67"/>
    <mergeCell ref="GK65:GK67"/>
    <mergeCell ref="GL65:GL67"/>
    <mergeCell ref="GM65:GM67"/>
    <mergeCell ref="GN65:GN67"/>
    <mergeCell ref="GI49:GI51"/>
    <mergeCell ref="GJ49:GJ51"/>
    <mergeCell ref="GK49:GK51"/>
    <mergeCell ref="GL49:GL51"/>
    <mergeCell ref="GM49:GM51"/>
    <mergeCell ref="GN49:GN51"/>
    <mergeCell ref="GI52:GI54"/>
    <mergeCell ref="GJ52:GJ54"/>
    <mergeCell ref="GK52:GK54"/>
    <mergeCell ref="GL52:GL54"/>
    <mergeCell ref="GM52:GM54"/>
    <mergeCell ref="GN52:GN54"/>
    <mergeCell ref="GI56:GI58"/>
    <mergeCell ref="GJ56:GJ58"/>
    <mergeCell ref="GK56:GK58"/>
    <mergeCell ref="GL56:GL58"/>
    <mergeCell ref="GM56:GM58"/>
    <mergeCell ref="GN56:GN58"/>
    <mergeCell ref="GI40:GI42"/>
    <mergeCell ref="GJ40:GJ42"/>
    <mergeCell ref="GK40:GK42"/>
    <mergeCell ref="GL40:GL42"/>
    <mergeCell ref="GM40:GM42"/>
    <mergeCell ref="GN40:GN42"/>
    <mergeCell ref="GI43:GI45"/>
    <mergeCell ref="GJ43:GJ45"/>
    <mergeCell ref="GK43:GK45"/>
    <mergeCell ref="GL43:GL45"/>
    <mergeCell ref="GM43:GM45"/>
    <mergeCell ref="GN43:GN45"/>
    <mergeCell ref="GI46:GI48"/>
    <mergeCell ref="GJ46:GJ48"/>
    <mergeCell ref="GK46:GK48"/>
    <mergeCell ref="GL46:GL48"/>
    <mergeCell ref="GM46:GM48"/>
    <mergeCell ref="GN46:GN48"/>
    <mergeCell ref="GI30:GI32"/>
    <mergeCell ref="GJ30:GJ32"/>
    <mergeCell ref="GK30:GK32"/>
    <mergeCell ref="GL30:GL32"/>
    <mergeCell ref="GM30:GM32"/>
    <mergeCell ref="GN30:GN32"/>
    <mergeCell ref="GI34:GI36"/>
    <mergeCell ref="GJ34:GJ36"/>
    <mergeCell ref="GK34:GK36"/>
    <mergeCell ref="GL34:GL36"/>
    <mergeCell ref="GM34:GM36"/>
    <mergeCell ref="GN34:GN36"/>
    <mergeCell ref="GI37:GI39"/>
    <mergeCell ref="GJ37:GJ39"/>
    <mergeCell ref="GK37:GK39"/>
    <mergeCell ref="GL37:GL39"/>
    <mergeCell ref="GM37:GM39"/>
    <mergeCell ref="GN37:GN39"/>
    <mergeCell ref="GK18:GK20"/>
    <mergeCell ref="GL18:GL20"/>
    <mergeCell ref="GM18:GM20"/>
    <mergeCell ref="GN18:GN20"/>
    <mergeCell ref="GI21:GI23"/>
    <mergeCell ref="GJ21:GJ23"/>
    <mergeCell ref="GK21:GK23"/>
    <mergeCell ref="GL21:GL23"/>
    <mergeCell ref="GM21:GM23"/>
    <mergeCell ref="GN21:GN23"/>
    <mergeCell ref="GI24:GI26"/>
    <mergeCell ref="GJ24:GJ26"/>
    <mergeCell ref="GK24:GK26"/>
    <mergeCell ref="GL24:GL26"/>
    <mergeCell ref="GM24:GM26"/>
    <mergeCell ref="GN24:GN26"/>
    <mergeCell ref="GI27:GI29"/>
    <mergeCell ref="GJ27:GJ29"/>
    <mergeCell ref="GK27:GK29"/>
    <mergeCell ref="GL27:GL29"/>
    <mergeCell ref="GM27:GM29"/>
    <mergeCell ref="GN27:GN29"/>
    <mergeCell ref="GB115:GB117"/>
    <mergeCell ref="GC115:GC117"/>
    <mergeCell ref="GD115:GD117"/>
    <mergeCell ref="GF115:GF117"/>
    <mergeCell ref="GG115:GG117"/>
    <mergeCell ref="GH115:GH117"/>
    <mergeCell ref="GI5:GI7"/>
    <mergeCell ref="GJ5:GJ7"/>
    <mergeCell ref="GK5:GK7"/>
    <mergeCell ref="GL5:GL7"/>
    <mergeCell ref="GM5:GM7"/>
    <mergeCell ref="GN5:GN7"/>
    <mergeCell ref="GI8:GI10"/>
    <mergeCell ref="GJ8:GJ10"/>
    <mergeCell ref="GK8:GK10"/>
    <mergeCell ref="GL8:GL10"/>
    <mergeCell ref="GM8:GM10"/>
    <mergeCell ref="GN8:GN10"/>
    <mergeCell ref="GI11:GI13"/>
    <mergeCell ref="GJ11:GJ13"/>
    <mergeCell ref="GK11:GK13"/>
    <mergeCell ref="GL11:GL13"/>
    <mergeCell ref="GM11:GM13"/>
    <mergeCell ref="GN11:GN13"/>
    <mergeCell ref="GI14:GI16"/>
    <mergeCell ref="GJ14:GJ16"/>
    <mergeCell ref="GK14:GK16"/>
    <mergeCell ref="GL14:GL16"/>
    <mergeCell ref="GM14:GM16"/>
    <mergeCell ref="GN14:GN16"/>
    <mergeCell ref="GI18:GI20"/>
    <mergeCell ref="GJ18:GJ20"/>
    <mergeCell ref="GB106:GB108"/>
    <mergeCell ref="GC106:GC108"/>
    <mergeCell ref="GD106:GD108"/>
    <mergeCell ref="GF106:GF108"/>
    <mergeCell ref="GG106:GG108"/>
    <mergeCell ref="GH106:GH108"/>
    <mergeCell ref="GB109:GB111"/>
    <mergeCell ref="GC109:GC111"/>
    <mergeCell ref="GD109:GD111"/>
    <mergeCell ref="GF109:GF111"/>
    <mergeCell ref="GG109:GG111"/>
    <mergeCell ref="GH109:GH111"/>
    <mergeCell ref="GB112:GB114"/>
    <mergeCell ref="GC112:GC114"/>
    <mergeCell ref="GD112:GD114"/>
    <mergeCell ref="GF112:GF114"/>
    <mergeCell ref="GG112:GG114"/>
    <mergeCell ref="GH112:GH114"/>
    <mergeCell ref="GE106:GE108"/>
    <mergeCell ref="GE109:GE111"/>
    <mergeCell ref="GE112:GE114"/>
    <mergeCell ref="GB97:GB99"/>
    <mergeCell ref="GC97:GC99"/>
    <mergeCell ref="GD97:GD99"/>
    <mergeCell ref="GF97:GF99"/>
    <mergeCell ref="GG97:GG99"/>
    <mergeCell ref="GH97:GH99"/>
    <mergeCell ref="GB100:GB101"/>
    <mergeCell ref="GC100:GC101"/>
    <mergeCell ref="GD100:GD101"/>
    <mergeCell ref="GF100:GF101"/>
    <mergeCell ref="GG100:GG101"/>
    <mergeCell ref="GH100:GH101"/>
    <mergeCell ref="GB103:GB105"/>
    <mergeCell ref="GC103:GC105"/>
    <mergeCell ref="GD103:GD105"/>
    <mergeCell ref="GF103:GF105"/>
    <mergeCell ref="GG103:GG105"/>
    <mergeCell ref="GH103:GH105"/>
    <mergeCell ref="GE97:GE99"/>
    <mergeCell ref="GE100:GE101"/>
    <mergeCell ref="GE103:GE105"/>
    <mergeCell ref="GB87:GB89"/>
    <mergeCell ref="GC87:GC89"/>
    <mergeCell ref="GD87:GD89"/>
    <mergeCell ref="GF87:GF89"/>
    <mergeCell ref="GG87:GG89"/>
    <mergeCell ref="GH87:GH89"/>
    <mergeCell ref="GB90:GB92"/>
    <mergeCell ref="GC90:GC92"/>
    <mergeCell ref="GD90:GD92"/>
    <mergeCell ref="GF90:GF92"/>
    <mergeCell ref="GG90:GG92"/>
    <mergeCell ref="GH90:GH92"/>
    <mergeCell ref="GB94:GB96"/>
    <mergeCell ref="GC94:GC96"/>
    <mergeCell ref="GD94:GD96"/>
    <mergeCell ref="GF94:GF96"/>
    <mergeCell ref="GG94:GG96"/>
    <mergeCell ref="GH94:GH96"/>
    <mergeCell ref="GE87:GE89"/>
    <mergeCell ref="GE90:GE92"/>
    <mergeCell ref="GE94:GE96"/>
    <mergeCell ref="GB78:GB80"/>
    <mergeCell ref="GC78:GC80"/>
    <mergeCell ref="GD78:GD80"/>
    <mergeCell ref="GF78:GF80"/>
    <mergeCell ref="GG78:GG80"/>
    <mergeCell ref="GH78:GH80"/>
    <mergeCell ref="GB81:GB83"/>
    <mergeCell ref="GC81:GC83"/>
    <mergeCell ref="GD81:GD83"/>
    <mergeCell ref="GF81:GF83"/>
    <mergeCell ref="GG81:GG83"/>
    <mergeCell ref="GH81:GH83"/>
    <mergeCell ref="GB84:GB86"/>
    <mergeCell ref="GC84:GC86"/>
    <mergeCell ref="GD84:GD86"/>
    <mergeCell ref="GF84:GF86"/>
    <mergeCell ref="GG84:GG86"/>
    <mergeCell ref="GH84:GH86"/>
    <mergeCell ref="GE78:GE80"/>
    <mergeCell ref="GE81:GE83"/>
    <mergeCell ref="GE84:GE86"/>
    <mergeCell ref="GB68:GB70"/>
    <mergeCell ref="GC68:GC70"/>
    <mergeCell ref="GD68:GD70"/>
    <mergeCell ref="GF68:GF70"/>
    <mergeCell ref="GG68:GG70"/>
    <mergeCell ref="GH68:GH70"/>
    <mergeCell ref="GB71:GB73"/>
    <mergeCell ref="GC71:GC73"/>
    <mergeCell ref="GD71:GD73"/>
    <mergeCell ref="GF71:GF73"/>
    <mergeCell ref="GG71:GG73"/>
    <mergeCell ref="GH71:GH73"/>
    <mergeCell ref="GB75:GB77"/>
    <mergeCell ref="GC75:GC77"/>
    <mergeCell ref="GD75:GD77"/>
    <mergeCell ref="GF75:GF77"/>
    <mergeCell ref="GG75:GG77"/>
    <mergeCell ref="GH75:GH77"/>
    <mergeCell ref="GE68:GE70"/>
    <mergeCell ref="GE71:GE73"/>
    <mergeCell ref="GE75:GE77"/>
    <mergeCell ref="GB59:GB61"/>
    <mergeCell ref="GC59:GC61"/>
    <mergeCell ref="GD59:GD61"/>
    <mergeCell ref="GF59:GF61"/>
    <mergeCell ref="GG59:GG61"/>
    <mergeCell ref="GH59:GH61"/>
    <mergeCell ref="GB62:GB64"/>
    <mergeCell ref="GC62:GC64"/>
    <mergeCell ref="GD62:GD64"/>
    <mergeCell ref="GF62:GF64"/>
    <mergeCell ref="GG62:GG64"/>
    <mergeCell ref="GH62:GH64"/>
    <mergeCell ref="GB65:GB67"/>
    <mergeCell ref="GC65:GC67"/>
    <mergeCell ref="GD65:GD67"/>
    <mergeCell ref="GF65:GF67"/>
    <mergeCell ref="GG65:GG67"/>
    <mergeCell ref="GH65:GH67"/>
    <mergeCell ref="GE59:GE61"/>
    <mergeCell ref="GE62:GE64"/>
    <mergeCell ref="GE65:GE67"/>
    <mergeCell ref="GB49:GB51"/>
    <mergeCell ref="GC49:GC51"/>
    <mergeCell ref="GD49:GD51"/>
    <mergeCell ref="GF49:GF51"/>
    <mergeCell ref="GG49:GG51"/>
    <mergeCell ref="GH49:GH51"/>
    <mergeCell ref="GB52:GB54"/>
    <mergeCell ref="GC52:GC54"/>
    <mergeCell ref="GD52:GD54"/>
    <mergeCell ref="GF52:GF54"/>
    <mergeCell ref="GG52:GG54"/>
    <mergeCell ref="GH52:GH54"/>
    <mergeCell ref="GB56:GB58"/>
    <mergeCell ref="GC56:GC58"/>
    <mergeCell ref="GD56:GD58"/>
    <mergeCell ref="GF56:GF58"/>
    <mergeCell ref="GG56:GG58"/>
    <mergeCell ref="GH56:GH58"/>
    <mergeCell ref="GB40:GB42"/>
    <mergeCell ref="GC40:GC42"/>
    <mergeCell ref="GD40:GD42"/>
    <mergeCell ref="GF40:GF42"/>
    <mergeCell ref="GG40:GG42"/>
    <mergeCell ref="GH40:GH42"/>
    <mergeCell ref="GB43:GB45"/>
    <mergeCell ref="GC43:GC45"/>
    <mergeCell ref="GD43:GD45"/>
    <mergeCell ref="GF43:GF45"/>
    <mergeCell ref="GG43:GG45"/>
    <mergeCell ref="GH43:GH45"/>
    <mergeCell ref="GB46:GB48"/>
    <mergeCell ref="GC46:GC48"/>
    <mergeCell ref="GD46:GD48"/>
    <mergeCell ref="GF46:GF48"/>
    <mergeCell ref="GG46:GG48"/>
    <mergeCell ref="GH46:GH48"/>
    <mergeCell ref="GB30:GB32"/>
    <mergeCell ref="GC30:GC32"/>
    <mergeCell ref="GD30:GD32"/>
    <mergeCell ref="GF30:GF32"/>
    <mergeCell ref="GG30:GG32"/>
    <mergeCell ref="GH30:GH32"/>
    <mergeCell ref="GB34:GB36"/>
    <mergeCell ref="GC34:GC36"/>
    <mergeCell ref="GD34:GD36"/>
    <mergeCell ref="GF34:GF36"/>
    <mergeCell ref="GG34:GG36"/>
    <mergeCell ref="GH34:GH36"/>
    <mergeCell ref="GB37:GB39"/>
    <mergeCell ref="GC37:GC39"/>
    <mergeCell ref="GD37:GD39"/>
    <mergeCell ref="GF37:GF39"/>
    <mergeCell ref="GG37:GG39"/>
    <mergeCell ref="GH37:GH39"/>
    <mergeCell ref="GD18:GD20"/>
    <mergeCell ref="GF18:GF20"/>
    <mergeCell ref="GG18:GG20"/>
    <mergeCell ref="GH18:GH20"/>
    <mergeCell ref="GB21:GB23"/>
    <mergeCell ref="GC21:GC23"/>
    <mergeCell ref="GD21:GD23"/>
    <mergeCell ref="GF21:GF23"/>
    <mergeCell ref="GG21:GG23"/>
    <mergeCell ref="GH21:GH23"/>
    <mergeCell ref="GB24:GB26"/>
    <mergeCell ref="GC24:GC26"/>
    <mergeCell ref="GD24:GD26"/>
    <mergeCell ref="GF24:GF26"/>
    <mergeCell ref="GG24:GG26"/>
    <mergeCell ref="GH24:GH26"/>
    <mergeCell ref="GB27:GB29"/>
    <mergeCell ref="GC27:GC29"/>
    <mergeCell ref="GD27:GD29"/>
    <mergeCell ref="GF27:GF29"/>
    <mergeCell ref="GG27:GG29"/>
    <mergeCell ref="GH27:GH29"/>
    <mergeCell ref="FW115:FW117"/>
    <mergeCell ref="FX115:FX117"/>
    <mergeCell ref="FY115:FY117"/>
    <mergeCell ref="FZ115:FZ117"/>
    <mergeCell ref="GA115:GA117"/>
    <mergeCell ref="GB5:GB7"/>
    <mergeCell ref="GC5:GC7"/>
    <mergeCell ref="GD5:GD7"/>
    <mergeCell ref="GF5:GF7"/>
    <mergeCell ref="GG5:GG7"/>
    <mergeCell ref="GH5:GH7"/>
    <mergeCell ref="GB8:GB10"/>
    <mergeCell ref="GC8:GC10"/>
    <mergeCell ref="GD8:GD10"/>
    <mergeCell ref="GF8:GF10"/>
    <mergeCell ref="GG8:GG10"/>
    <mergeCell ref="GH8:GH10"/>
    <mergeCell ref="GB11:GB13"/>
    <mergeCell ref="GC11:GC13"/>
    <mergeCell ref="GD11:GD13"/>
    <mergeCell ref="GF11:GF13"/>
    <mergeCell ref="GG11:GG13"/>
    <mergeCell ref="GH11:GH13"/>
    <mergeCell ref="GB14:GB16"/>
    <mergeCell ref="GC14:GC16"/>
    <mergeCell ref="GD14:GD16"/>
    <mergeCell ref="GF14:GF16"/>
    <mergeCell ref="GG14:GG16"/>
    <mergeCell ref="GH14:GH16"/>
    <mergeCell ref="GB18:GB20"/>
    <mergeCell ref="GC18:GC20"/>
    <mergeCell ref="FW106:FW108"/>
    <mergeCell ref="FX106:FX108"/>
    <mergeCell ref="FY106:FY108"/>
    <mergeCell ref="FZ106:FZ108"/>
    <mergeCell ref="GA106:GA108"/>
    <mergeCell ref="FU109:FU111"/>
    <mergeCell ref="FW109:FW111"/>
    <mergeCell ref="FX109:FX111"/>
    <mergeCell ref="FY109:FY111"/>
    <mergeCell ref="FZ109:FZ111"/>
    <mergeCell ref="GA109:GA111"/>
    <mergeCell ref="FU112:FU114"/>
    <mergeCell ref="FW112:FW114"/>
    <mergeCell ref="FX112:FX114"/>
    <mergeCell ref="FY112:FY114"/>
    <mergeCell ref="FZ112:FZ114"/>
    <mergeCell ref="GA112:GA114"/>
    <mergeCell ref="FV112:FV114"/>
    <mergeCell ref="FW97:FW99"/>
    <mergeCell ref="FX97:FX99"/>
    <mergeCell ref="FY97:FY99"/>
    <mergeCell ref="FZ97:FZ99"/>
    <mergeCell ref="GA97:GA99"/>
    <mergeCell ref="FU100:FU101"/>
    <mergeCell ref="FW100:FW101"/>
    <mergeCell ref="FX100:FX101"/>
    <mergeCell ref="FY100:FY101"/>
    <mergeCell ref="FZ100:FZ101"/>
    <mergeCell ref="GA100:GA101"/>
    <mergeCell ref="FU103:FU105"/>
    <mergeCell ref="FW103:FW105"/>
    <mergeCell ref="FX103:FX105"/>
    <mergeCell ref="FY103:FY105"/>
    <mergeCell ref="FZ103:FZ105"/>
    <mergeCell ref="GA103:GA105"/>
    <mergeCell ref="FV97:FV99"/>
    <mergeCell ref="FW87:FW89"/>
    <mergeCell ref="FX87:FX89"/>
    <mergeCell ref="FY87:FY89"/>
    <mergeCell ref="FZ87:FZ89"/>
    <mergeCell ref="GA87:GA89"/>
    <mergeCell ref="FU90:FU92"/>
    <mergeCell ref="FW90:FW92"/>
    <mergeCell ref="FX90:FX92"/>
    <mergeCell ref="FY90:FY92"/>
    <mergeCell ref="FZ90:FZ92"/>
    <mergeCell ref="GA90:GA92"/>
    <mergeCell ref="FU94:FU96"/>
    <mergeCell ref="FW94:FW96"/>
    <mergeCell ref="FX94:FX96"/>
    <mergeCell ref="FY94:FY96"/>
    <mergeCell ref="FZ94:FZ96"/>
    <mergeCell ref="GA94:GA96"/>
    <mergeCell ref="FV87:FV89"/>
    <mergeCell ref="FV90:FV92"/>
    <mergeCell ref="FV94:FV96"/>
    <mergeCell ref="FW78:FW80"/>
    <mergeCell ref="FX78:FX80"/>
    <mergeCell ref="FY78:FY80"/>
    <mergeCell ref="FZ78:FZ80"/>
    <mergeCell ref="GA78:GA80"/>
    <mergeCell ref="FU81:FU83"/>
    <mergeCell ref="FW81:FW83"/>
    <mergeCell ref="FX81:FX83"/>
    <mergeCell ref="FY81:FY83"/>
    <mergeCell ref="FZ81:FZ83"/>
    <mergeCell ref="GA81:GA83"/>
    <mergeCell ref="FU84:FU86"/>
    <mergeCell ref="FW84:FW86"/>
    <mergeCell ref="FX84:FX86"/>
    <mergeCell ref="FY84:FY86"/>
    <mergeCell ref="FZ84:FZ86"/>
    <mergeCell ref="GA84:GA86"/>
    <mergeCell ref="FV78:FV80"/>
    <mergeCell ref="FV81:FV83"/>
    <mergeCell ref="FV84:FV86"/>
    <mergeCell ref="FW68:FW70"/>
    <mergeCell ref="FX68:FX70"/>
    <mergeCell ref="FY68:FY70"/>
    <mergeCell ref="FZ68:FZ70"/>
    <mergeCell ref="GA68:GA70"/>
    <mergeCell ref="FU71:FU73"/>
    <mergeCell ref="FW71:FW73"/>
    <mergeCell ref="FX71:FX73"/>
    <mergeCell ref="FY71:FY73"/>
    <mergeCell ref="FZ71:FZ73"/>
    <mergeCell ref="GA71:GA73"/>
    <mergeCell ref="FU75:FU77"/>
    <mergeCell ref="FW75:FW77"/>
    <mergeCell ref="FX75:FX77"/>
    <mergeCell ref="FY75:FY77"/>
    <mergeCell ref="FZ75:FZ77"/>
    <mergeCell ref="GA75:GA77"/>
    <mergeCell ref="FV68:FV70"/>
    <mergeCell ref="FV71:FV73"/>
    <mergeCell ref="FV75:FV77"/>
    <mergeCell ref="FW59:FW61"/>
    <mergeCell ref="FX59:FX61"/>
    <mergeCell ref="FY59:FY61"/>
    <mergeCell ref="FZ59:FZ61"/>
    <mergeCell ref="GA59:GA61"/>
    <mergeCell ref="FU62:FU64"/>
    <mergeCell ref="FW62:FW64"/>
    <mergeCell ref="FX62:FX64"/>
    <mergeCell ref="FY62:FY64"/>
    <mergeCell ref="FZ62:FZ64"/>
    <mergeCell ref="GA62:GA64"/>
    <mergeCell ref="FU65:FU67"/>
    <mergeCell ref="FW65:FW67"/>
    <mergeCell ref="FX65:FX67"/>
    <mergeCell ref="FY65:FY67"/>
    <mergeCell ref="FZ65:FZ67"/>
    <mergeCell ref="GA65:GA67"/>
    <mergeCell ref="FV59:FV61"/>
    <mergeCell ref="FV62:FV64"/>
    <mergeCell ref="FV65:FV67"/>
    <mergeCell ref="FW49:FW51"/>
    <mergeCell ref="FX49:FX51"/>
    <mergeCell ref="FY49:FY51"/>
    <mergeCell ref="FZ49:FZ51"/>
    <mergeCell ref="GA49:GA51"/>
    <mergeCell ref="FU52:FU54"/>
    <mergeCell ref="FW52:FW54"/>
    <mergeCell ref="FX52:FX54"/>
    <mergeCell ref="FY52:FY54"/>
    <mergeCell ref="FZ52:FZ54"/>
    <mergeCell ref="GA52:GA54"/>
    <mergeCell ref="FU56:FU58"/>
    <mergeCell ref="FW56:FW58"/>
    <mergeCell ref="FX56:FX58"/>
    <mergeCell ref="FY56:FY58"/>
    <mergeCell ref="FZ56:FZ58"/>
    <mergeCell ref="GA56:GA58"/>
    <mergeCell ref="FV49:FV51"/>
    <mergeCell ref="FV52:FV54"/>
    <mergeCell ref="FV56:FV58"/>
    <mergeCell ref="FW40:FW42"/>
    <mergeCell ref="FX40:FX42"/>
    <mergeCell ref="FY40:FY42"/>
    <mergeCell ref="FZ40:FZ42"/>
    <mergeCell ref="GA40:GA42"/>
    <mergeCell ref="FU43:FU45"/>
    <mergeCell ref="FW43:FW45"/>
    <mergeCell ref="FX43:FX45"/>
    <mergeCell ref="FY43:FY45"/>
    <mergeCell ref="FZ43:FZ45"/>
    <mergeCell ref="GA43:GA45"/>
    <mergeCell ref="FU46:FU48"/>
    <mergeCell ref="FW46:FW48"/>
    <mergeCell ref="FX46:FX48"/>
    <mergeCell ref="FY46:FY48"/>
    <mergeCell ref="FZ46:FZ48"/>
    <mergeCell ref="GA46:GA48"/>
    <mergeCell ref="FV46:FV48"/>
    <mergeCell ref="FW30:FW32"/>
    <mergeCell ref="FX30:FX32"/>
    <mergeCell ref="FY30:FY32"/>
    <mergeCell ref="FZ30:FZ32"/>
    <mergeCell ref="GA30:GA32"/>
    <mergeCell ref="FU34:FU36"/>
    <mergeCell ref="FW34:FW36"/>
    <mergeCell ref="FX34:FX36"/>
    <mergeCell ref="FY34:FY36"/>
    <mergeCell ref="FZ34:FZ36"/>
    <mergeCell ref="GA34:GA36"/>
    <mergeCell ref="FU37:FU39"/>
    <mergeCell ref="FW37:FW39"/>
    <mergeCell ref="FX37:FX39"/>
    <mergeCell ref="FY37:FY39"/>
    <mergeCell ref="FZ37:FZ39"/>
    <mergeCell ref="GA37:GA39"/>
    <mergeCell ref="FU21:FU23"/>
    <mergeCell ref="FW21:FW23"/>
    <mergeCell ref="FX21:FX23"/>
    <mergeCell ref="FY21:FY23"/>
    <mergeCell ref="FZ21:FZ23"/>
    <mergeCell ref="GA21:GA23"/>
    <mergeCell ref="FU24:FU26"/>
    <mergeCell ref="FW24:FW26"/>
    <mergeCell ref="FX24:FX26"/>
    <mergeCell ref="FY24:FY26"/>
    <mergeCell ref="FZ24:FZ26"/>
    <mergeCell ref="GA24:GA26"/>
    <mergeCell ref="FU27:FU29"/>
    <mergeCell ref="FW27:FW29"/>
    <mergeCell ref="FX27:FX29"/>
    <mergeCell ref="FY27:FY29"/>
    <mergeCell ref="FZ27:FZ29"/>
    <mergeCell ref="GA27:GA29"/>
    <mergeCell ref="FT112:FT114"/>
    <mergeCell ref="FT115:FT117"/>
    <mergeCell ref="FU5:FU7"/>
    <mergeCell ref="FW5:FW7"/>
    <mergeCell ref="FX5:FX7"/>
    <mergeCell ref="FY5:FY7"/>
    <mergeCell ref="FZ5:FZ7"/>
    <mergeCell ref="GA5:GA7"/>
    <mergeCell ref="FU8:FU10"/>
    <mergeCell ref="FW8:FW10"/>
    <mergeCell ref="FX8:FX10"/>
    <mergeCell ref="FY8:FY10"/>
    <mergeCell ref="FZ8:FZ10"/>
    <mergeCell ref="GA8:GA10"/>
    <mergeCell ref="FU11:FU13"/>
    <mergeCell ref="FW11:FW13"/>
    <mergeCell ref="FX11:FX13"/>
    <mergeCell ref="FY11:FY13"/>
    <mergeCell ref="FZ11:FZ13"/>
    <mergeCell ref="GA11:GA13"/>
    <mergeCell ref="FU14:FU16"/>
    <mergeCell ref="FW14:FW16"/>
    <mergeCell ref="FX14:FX16"/>
    <mergeCell ref="FY14:FY16"/>
    <mergeCell ref="FZ14:FZ16"/>
    <mergeCell ref="GA14:GA16"/>
    <mergeCell ref="FU18:FU20"/>
    <mergeCell ref="FW18:FW20"/>
    <mergeCell ref="FX18:FX20"/>
    <mergeCell ref="FY18:FY20"/>
    <mergeCell ref="FZ18:FZ20"/>
    <mergeCell ref="GA18:GA20"/>
    <mergeCell ref="FS115:FS117"/>
    <mergeCell ref="FT5:FT7"/>
    <mergeCell ref="FT8:FT10"/>
    <mergeCell ref="FT11:FT13"/>
    <mergeCell ref="FT14:FT16"/>
    <mergeCell ref="FT18:FT20"/>
    <mergeCell ref="FT21:FT23"/>
    <mergeCell ref="FT24:FT26"/>
    <mergeCell ref="FT27:FT29"/>
    <mergeCell ref="FT30:FT32"/>
    <mergeCell ref="FT34:FT36"/>
    <mergeCell ref="FT37:FT39"/>
    <mergeCell ref="FT40:FT42"/>
    <mergeCell ref="FT43:FT45"/>
    <mergeCell ref="FT46:FT48"/>
    <mergeCell ref="FT49:FT51"/>
    <mergeCell ref="FT52:FT54"/>
    <mergeCell ref="FT56:FT58"/>
    <mergeCell ref="FT59:FT61"/>
    <mergeCell ref="FT62:FT64"/>
    <mergeCell ref="FT65:FT67"/>
    <mergeCell ref="FT68:FT70"/>
    <mergeCell ref="FT71:FT73"/>
    <mergeCell ref="FT75:FT77"/>
    <mergeCell ref="FT78:FT80"/>
    <mergeCell ref="FT81:FT83"/>
    <mergeCell ref="FT84:FT86"/>
    <mergeCell ref="FT87:FT89"/>
    <mergeCell ref="FT90:FT92"/>
    <mergeCell ref="FT94:FT96"/>
    <mergeCell ref="FT97:FT99"/>
    <mergeCell ref="FT100:FT101"/>
    <mergeCell ref="FS62:FS64"/>
    <mergeCell ref="FS65:FS67"/>
    <mergeCell ref="FS68:FS70"/>
    <mergeCell ref="FS71:FS73"/>
    <mergeCell ref="FS75:FS77"/>
    <mergeCell ref="FS78:FS80"/>
    <mergeCell ref="FS81:FS83"/>
    <mergeCell ref="FS84:FS86"/>
    <mergeCell ref="FS87:FS89"/>
    <mergeCell ref="FS90:FS92"/>
    <mergeCell ref="FS94:FS96"/>
    <mergeCell ref="FS97:FS99"/>
    <mergeCell ref="FS100:FS101"/>
    <mergeCell ref="FS103:FS105"/>
    <mergeCell ref="FS106:FS108"/>
    <mergeCell ref="FS109:FS111"/>
    <mergeCell ref="FS112:FS114"/>
    <mergeCell ref="FQ75:FQ77"/>
    <mergeCell ref="FQ78:FQ80"/>
    <mergeCell ref="FQ81:FQ83"/>
    <mergeCell ref="FQ84:FQ86"/>
    <mergeCell ref="FQ87:FQ89"/>
    <mergeCell ref="FQ90:FQ92"/>
    <mergeCell ref="FQ94:FQ96"/>
    <mergeCell ref="FQ97:FQ99"/>
    <mergeCell ref="FQ100:FQ101"/>
    <mergeCell ref="FQ103:FQ105"/>
    <mergeCell ref="FQ106:FQ108"/>
    <mergeCell ref="FQ109:FQ111"/>
    <mergeCell ref="FQ112:FQ114"/>
    <mergeCell ref="FQ115:FQ117"/>
    <mergeCell ref="FS5:FS7"/>
    <mergeCell ref="FS8:FS10"/>
    <mergeCell ref="FS11:FS13"/>
    <mergeCell ref="FS14:FS16"/>
    <mergeCell ref="FS18:FS20"/>
    <mergeCell ref="FS21:FS23"/>
    <mergeCell ref="FS24:FS26"/>
    <mergeCell ref="FS27:FS29"/>
    <mergeCell ref="FS30:FS32"/>
    <mergeCell ref="FS34:FS36"/>
    <mergeCell ref="FS37:FS39"/>
    <mergeCell ref="FS40:FS42"/>
    <mergeCell ref="FS43:FS45"/>
    <mergeCell ref="FS46:FS48"/>
    <mergeCell ref="FS49:FS51"/>
    <mergeCell ref="FS52:FS54"/>
    <mergeCell ref="FS56:FS58"/>
    <mergeCell ref="FS59:FS61"/>
    <mergeCell ref="FP87:FP89"/>
    <mergeCell ref="FP90:FP92"/>
    <mergeCell ref="FP94:FP96"/>
    <mergeCell ref="FP97:FP99"/>
    <mergeCell ref="FP100:FP101"/>
    <mergeCell ref="FP103:FP105"/>
    <mergeCell ref="FP106:FP108"/>
    <mergeCell ref="FP109:FP111"/>
    <mergeCell ref="FP112:FP114"/>
    <mergeCell ref="FP115:FP117"/>
    <mergeCell ref="FQ5:FQ7"/>
    <mergeCell ref="FQ8:FQ10"/>
    <mergeCell ref="FQ11:FQ13"/>
    <mergeCell ref="FQ14:FQ16"/>
    <mergeCell ref="FQ18:FQ20"/>
    <mergeCell ref="FQ21:FQ23"/>
    <mergeCell ref="FQ24:FQ26"/>
    <mergeCell ref="FQ27:FQ29"/>
    <mergeCell ref="FQ30:FQ32"/>
    <mergeCell ref="FQ34:FQ36"/>
    <mergeCell ref="FQ37:FQ39"/>
    <mergeCell ref="FQ40:FQ42"/>
    <mergeCell ref="FQ43:FQ45"/>
    <mergeCell ref="FQ46:FQ48"/>
    <mergeCell ref="FQ49:FQ51"/>
    <mergeCell ref="FQ52:FQ54"/>
    <mergeCell ref="FQ56:FQ58"/>
    <mergeCell ref="FQ59:FQ61"/>
    <mergeCell ref="FQ62:FQ64"/>
    <mergeCell ref="FQ65:FQ67"/>
    <mergeCell ref="FQ68:FQ70"/>
    <mergeCell ref="FQ71:FQ73"/>
    <mergeCell ref="FO100:FO101"/>
    <mergeCell ref="FO103:FO105"/>
    <mergeCell ref="FO106:FO108"/>
    <mergeCell ref="FO109:FO111"/>
    <mergeCell ref="FO112:FO114"/>
    <mergeCell ref="FO115:FO117"/>
    <mergeCell ref="FP5:FP7"/>
    <mergeCell ref="FP8:FP10"/>
    <mergeCell ref="FP11:FP13"/>
    <mergeCell ref="FP14:FP16"/>
    <mergeCell ref="FP18:FP20"/>
    <mergeCell ref="FP21:FP23"/>
    <mergeCell ref="FP24:FP26"/>
    <mergeCell ref="FP27:FP29"/>
    <mergeCell ref="FP30:FP32"/>
    <mergeCell ref="FP34:FP36"/>
    <mergeCell ref="FP37:FP39"/>
    <mergeCell ref="FP40:FP42"/>
    <mergeCell ref="FP43:FP45"/>
    <mergeCell ref="FP46:FP48"/>
    <mergeCell ref="FP49:FP51"/>
    <mergeCell ref="FP52:FP54"/>
    <mergeCell ref="FP56:FP58"/>
    <mergeCell ref="FP59:FP61"/>
    <mergeCell ref="FP62:FP64"/>
    <mergeCell ref="FP65:FP67"/>
    <mergeCell ref="FP68:FP70"/>
    <mergeCell ref="FP71:FP73"/>
    <mergeCell ref="FP75:FP77"/>
    <mergeCell ref="FP78:FP80"/>
    <mergeCell ref="FP81:FP83"/>
    <mergeCell ref="FP84:FP86"/>
    <mergeCell ref="FO5:FO7"/>
    <mergeCell ref="FO8:FO10"/>
    <mergeCell ref="FO11:FO13"/>
    <mergeCell ref="FO14:FO16"/>
    <mergeCell ref="FO18:FO20"/>
    <mergeCell ref="FO21:FO23"/>
    <mergeCell ref="FO24:FO26"/>
    <mergeCell ref="FO27:FO29"/>
    <mergeCell ref="FO30:FO32"/>
    <mergeCell ref="FO34:FO36"/>
    <mergeCell ref="FO37:FO39"/>
    <mergeCell ref="FO40:FO42"/>
    <mergeCell ref="FO43:FO45"/>
    <mergeCell ref="FO46:FO48"/>
    <mergeCell ref="FO49:FO51"/>
    <mergeCell ref="FO52:FO54"/>
    <mergeCell ref="FO56:FO58"/>
    <mergeCell ref="FO59:FO61"/>
    <mergeCell ref="FO62:FO64"/>
    <mergeCell ref="FO65:FO67"/>
    <mergeCell ref="FO68:FO70"/>
    <mergeCell ref="FO71:FO73"/>
    <mergeCell ref="FO75:FO77"/>
    <mergeCell ref="FO78:FO80"/>
    <mergeCell ref="FO81:FO83"/>
    <mergeCell ref="FO84:FO86"/>
    <mergeCell ref="FO87:FO89"/>
    <mergeCell ref="FO90:FO92"/>
    <mergeCell ref="FO94:FO96"/>
    <mergeCell ref="FO97:FO99"/>
    <mergeCell ref="FM59:FM61"/>
    <mergeCell ref="FM62:FM64"/>
    <mergeCell ref="FM65:FM67"/>
    <mergeCell ref="FM68:FM70"/>
    <mergeCell ref="FM71:FM73"/>
    <mergeCell ref="FM75:FM77"/>
    <mergeCell ref="FM78:FM80"/>
    <mergeCell ref="FM81:FM83"/>
    <mergeCell ref="FM84:FM86"/>
    <mergeCell ref="FM87:FM89"/>
    <mergeCell ref="FM90:FM92"/>
    <mergeCell ref="FM94:FM96"/>
    <mergeCell ref="FM97:FM99"/>
    <mergeCell ref="FE103:FE105"/>
    <mergeCell ref="FF103:FF105"/>
    <mergeCell ref="FG103:FG105"/>
    <mergeCell ref="FI103:FI105"/>
    <mergeCell ref="FJ103:FJ105"/>
    <mergeCell ref="FK103:FK105"/>
    <mergeCell ref="FG100:FG101"/>
    <mergeCell ref="FI100:FI101"/>
    <mergeCell ref="FJ100:FJ101"/>
    <mergeCell ref="FK100:FK101"/>
    <mergeCell ref="FK94:FK96"/>
    <mergeCell ref="FI75:FI77"/>
    <mergeCell ref="FJ75:FJ77"/>
    <mergeCell ref="FK75:FK77"/>
    <mergeCell ref="FJ56:FJ58"/>
    <mergeCell ref="FK56:FK58"/>
    <mergeCell ref="FJ18:FJ20"/>
    <mergeCell ref="FK18:FK20"/>
    <mergeCell ref="FE34:FE36"/>
    <mergeCell ref="FF34:FF36"/>
    <mergeCell ref="FE37:FE39"/>
    <mergeCell ref="FF37:FF39"/>
    <mergeCell ref="FG37:FG39"/>
    <mergeCell ref="FI37:FI39"/>
    <mergeCell ref="FJ37:FJ39"/>
    <mergeCell ref="FK37:FK39"/>
    <mergeCell ref="FI30:FI32"/>
    <mergeCell ref="FJ30:FJ32"/>
    <mergeCell ref="FK30:FK32"/>
    <mergeCell ref="FG27:FG29"/>
    <mergeCell ref="FI27:FI29"/>
    <mergeCell ref="FJ27:FJ29"/>
    <mergeCell ref="FL5:FL7"/>
    <mergeCell ref="FL8:FL10"/>
    <mergeCell ref="FL11:FL13"/>
    <mergeCell ref="FL14:FL16"/>
    <mergeCell ref="FL18:FL20"/>
    <mergeCell ref="FL21:FL23"/>
    <mergeCell ref="FL24:FL26"/>
    <mergeCell ref="FL27:FL29"/>
    <mergeCell ref="FL30:FL32"/>
    <mergeCell ref="FL34:FL36"/>
    <mergeCell ref="FL37:FL39"/>
    <mergeCell ref="FL40:FL42"/>
    <mergeCell ref="FL43:FL45"/>
    <mergeCell ref="FL46:FL48"/>
    <mergeCell ref="FL49:FL51"/>
    <mergeCell ref="FL52:FL54"/>
    <mergeCell ref="FL56:FL58"/>
    <mergeCell ref="FK5:FK7"/>
    <mergeCell ref="FL59:FL61"/>
    <mergeCell ref="FL62:FL64"/>
    <mergeCell ref="FL65:FL67"/>
    <mergeCell ref="FL68:FL70"/>
    <mergeCell ref="EC103:EC105"/>
    <mergeCell ref="ED103:ED105"/>
    <mergeCell ref="EE103:EE105"/>
    <mergeCell ref="EF103:EF105"/>
    <mergeCell ref="EG103:EG105"/>
    <mergeCell ref="EH103:EH105"/>
    <mergeCell ref="EJ103:EJ105"/>
    <mergeCell ref="EK103:EK105"/>
    <mergeCell ref="EL103:EL105"/>
    <mergeCell ref="EN103:EN105"/>
    <mergeCell ref="EO103:EO105"/>
    <mergeCell ref="EP103:EP105"/>
    <mergeCell ref="EQ103:EQ105"/>
    <mergeCell ref="ER103:ER105"/>
    <mergeCell ref="EM103:EM105"/>
    <mergeCell ref="ES103:ES105"/>
    <mergeCell ref="ET103:ET105"/>
    <mergeCell ref="EU103:EU105"/>
    <mergeCell ref="EV103:EV105"/>
    <mergeCell ref="EW103:EW105"/>
    <mergeCell ref="EX103:EX105"/>
    <mergeCell ref="EY103:EY105"/>
    <mergeCell ref="EZ103:EZ105"/>
    <mergeCell ref="FA103:FA105"/>
    <mergeCell ref="FC103:FC105"/>
    <mergeCell ref="FD103:FD105"/>
    <mergeCell ref="FJ94:FJ96"/>
    <mergeCell ref="EP100:EP101"/>
    <mergeCell ref="EQ100:EQ101"/>
    <mergeCell ref="ER100:ER101"/>
    <mergeCell ref="ES100:ES101"/>
    <mergeCell ref="ET100:ET101"/>
    <mergeCell ref="EU100:EU101"/>
    <mergeCell ref="EV100:EV101"/>
    <mergeCell ref="EW100:EW101"/>
    <mergeCell ref="EX100:EX101"/>
    <mergeCell ref="EY100:EY101"/>
    <mergeCell ref="EZ100:EZ101"/>
    <mergeCell ref="FA100:FA101"/>
    <mergeCell ref="FC100:FC101"/>
    <mergeCell ref="FD100:FD101"/>
    <mergeCell ref="FE100:FE101"/>
    <mergeCell ref="FF100:FF101"/>
    <mergeCell ref="FG75:FG77"/>
    <mergeCell ref="ET94:ET96"/>
    <mergeCell ref="EU94:EU96"/>
    <mergeCell ref="EV94:EV96"/>
    <mergeCell ref="EW94:EW96"/>
    <mergeCell ref="EX94:EX96"/>
    <mergeCell ref="EY94:EY96"/>
    <mergeCell ref="EZ94:EZ96"/>
    <mergeCell ref="FA94:FA96"/>
    <mergeCell ref="FC94:FC96"/>
    <mergeCell ref="FD94:FD96"/>
    <mergeCell ref="ES75:ES77"/>
    <mergeCell ref="ET75:ET77"/>
    <mergeCell ref="EU75:EU77"/>
    <mergeCell ref="EV75:EV77"/>
    <mergeCell ref="EW75:EW77"/>
    <mergeCell ref="EF75:EF77"/>
    <mergeCell ref="EG75:EG77"/>
    <mergeCell ref="EH75:EH77"/>
    <mergeCell ref="EJ75:EJ77"/>
    <mergeCell ref="EK75:EK77"/>
    <mergeCell ref="EL75:EL77"/>
    <mergeCell ref="EN75:EN77"/>
    <mergeCell ref="EO75:EO77"/>
    <mergeCell ref="EP75:EP77"/>
    <mergeCell ref="EQ75:EQ77"/>
    <mergeCell ref="ER75:ER77"/>
    <mergeCell ref="EM75:EM77"/>
    <mergeCell ref="EI75:EI77"/>
    <mergeCell ref="DZ94:DZ96"/>
    <mergeCell ref="EA94:EA96"/>
    <mergeCell ref="EB94:EB96"/>
    <mergeCell ref="EC94:EC96"/>
    <mergeCell ref="ED94:ED96"/>
    <mergeCell ref="EE94:EE96"/>
    <mergeCell ref="EF94:EF96"/>
    <mergeCell ref="EG94:EG96"/>
    <mergeCell ref="EH94:EH96"/>
    <mergeCell ref="EJ94:EJ96"/>
    <mergeCell ref="EK94:EK96"/>
    <mergeCell ref="EL94:EL96"/>
    <mergeCell ref="EN94:EN96"/>
    <mergeCell ref="EO94:EO96"/>
    <mergeCell ref="EP94:EP96"/>
    <mergeCell ref="EQ94:EQ96"/>
    <mergeCell ref="ER94:ER96"/>
    <mergeCell ref="ER90:ER92"/>
    <mergeCell ref="EC87:EC89"/>
    <mergeCell ref="FE75:FE77"/>
    <mergeCell ref="FF75:FF77"/>
    <mergeCell ref="FG34:FG36"/>
    <mergeCell ref="FI34:FI36"/>
    <mergeCell ref="FJ34:FJ36"/>
    <mergeCell ref="FK34:FK36"/>
    <mergeCell ref="DZ56:DZ58"/>
    <mergeCell ref="EA56:EA58"/>
    <mergeCell ref="EB56:EB58"/>
    <mergeCell ref="EC56:EC58"/>
    <mergeCell ref="ED56:ED58"/>
    <mergeCell ref="EE56:EE58"/>
    <mergeCell ref="EF56:EF58"/>
    <mergeCell ref="EG56:EG58"/>
    <mergeCell ref="EH56:EH58"/>
    <mergeCell ref="EJ56:EJ58"/>
    <mergeCell ref="EK56:EK58"/>
    <mergeCell ref="EL56:EL58"/>
    <mergeCell ref="EN56:EN58"/>
    <mergeCell ref="EO56:EO58"/>
    <mergeCell ref="EP56:EP58"/>
    <mergeCell ref="EQ56:EQ58"/>
    <mergeCell ref="ER56:ER58"/>
    <mergeCell ref="FD56:FD58"/>
    <mergeCell ref="EY71:EY73"/>
    <mergeCell ref="EZ71:EZ73"/>
    <mergeCell ref="DZ75:DZ77"/>
    <mergeCell ref="EA75:EA77"/>
    <mergeCell ref="EB75:EB77"/>
    <mergeCell ref="EC75:EC77"/>
    <mergeCell ref="ED75:ED77"/>
    <mergeCell ref="EE75:EE77"/>
    <mergeCell ref="EM34:EM36"/>
    <mergeCell ref="ES34:ES36"/>
    <mergeCell ref="ET34:ET36"/>
    <mergeCell ref="EU34:EU36"/>
    <mergeCell ref="EV34:EV36"/>
    <mergeCell ref="EW34:EW36"/>
    <mergeCell ref="EX34:EX36"/>
    <mergeCell ref="EY34:EY36"/>
    <mergeCell ref="EZ34:EZ36"/>
    <mergeCell ref="FA34:FA36"/>
    <mergeCell ref="FC34:FC36"/>
    <mergeCell ref="FD34:FD36"/>
    <mergeCell ref="EX75:EX77"/>
    <mergeCell ref="EY75:EY77"/>
    <mergeCell ref="EZ75:EZ77"/>
    <mergeCell ref="FA75:FA77"/>
    <mergeCell ref="FC75:FC77"/>
    <mergeCell ref="FD75:FD77"/>
    <mergeCell ref="EM59:EM61"/>
    <mergeCell ref="EM62:EM64"/>
    <mergeCell ref="FA71:FA73"/>
    <mergeCell ref="FC71:FC73"/>
    <mergeCell ref="FD71:FD73"/>
    <mergeCell ref="FC65:FC67"/>
    <mergeCell ref="FD65:FD67"/>
    <mergeCell ref="ES59:ES61"/>
    <mergeCell ref="ET59:ET61"/>
    <mergeCell ref="EU59:EU61"/>
    <mergeCell ref="EV59:EV61"/>
    <mergeCell ref="EW59:EW61"/>
    <mergeCell ref="EX59:EX61"/>
    <mergeCell ref="EY59:EY61"/>
    <mergeCell ref="FD5:FD7"/>
    <mergeCell ref="FE5:FE7"/>
    <mergeCell ref="FF5:FF7"/>
    <mergeCell ref="FG5:FG7"/>
    <mergeCell ref="ES30:ES32"/>
    <mergeCell ref="ET30:ET32"/>
    <mergeCell ref="EU30:EU32"/>
    <mergeCell ref="EV30:EV32"/>
    <mergeCell ref="EW30:EW32"/>
    <mergeCell ref="EX30:EX32"/>
    <mergeCell ref="EY30:EY32"/>
    <mergeCell ref="FD11:FD13"/>
    <mergeCell ref="FE11:FE13"/>
    <mergeCell ref="FF11:FF13"/>
    <mergeCell ref="FG11:FG13"/>
    <mergeCell ref="FA8:FA10"/>
    <mergeCell ref="FC8:FC10"/>
    <mergeCell ref="FD8:FD10"/>
    <mergeCell ref="FE8:FE10"/>
    <mergeCell ref="FF8:FF10"/>
    <mergeCell ref="FG8:FG10"/>
    <mergeCell ref="EZ30:EZ32"/>
    <mergeCell ref="FA30:FA32"/>
    <mergeCell ref="FC30:FC32"/>
    <mergeCell ref="FD30:FD32"/>
    <mergeCell ref="FE30:FE32"/>
    <mergeCell ref="FF30:FF32"/>
    <mergeCell ref="FG30:FG32"/>
    <mergeCell ref="FC27:FC29"/>
    <mergeCell ref="FD27:FD29"/>
    <mergeCell ref="FE27:FE29"/>
    <mergeCell ref="FF27:FF29"/>
    <mergeCell ref="FI5:FI7"/>
    <mergeCell ref="FJ5:FJ7"/>
    <mergeCell ref="FA5:FA7"/>
    <mergeCell ref="FC5:FC7"/>
    <mergeCell ref="EU27:EU29"/>
    <mergeCell ref="FG21:FG23"/>
    <mergeCell ref="FI21:FI23"/>
    <mergeCell ref="FJ21:FJ23"/>
    <mergeCell ref="EV21:EV23"/>
    <mergeCell ref="EW21:EW23"/>
    <mergeCell ref="EX21:EX23"/>
    <mergeCell ref="EY21:EY23"/>
    <mergeCell ref="EZ21:EZ23"/>
    <mergeCell ref="FA21:FA23"/>
    <mergeCell ref="FC21:FC23"/>
    <mergeCell ref="FD21:FD23"/>
    <mergeCell ref="FE21:FE23"/>
    <mergeCell ref="FF21:FF23"/>
    <mergeCell ref="FA18:FA20"/>
    <mergeCell ref="FC18:FC20"/>
    <mergeCell ref="FD18:FD20"/>
    <mergeCell ref="FE18:FE20"/>
    <mergeCell ref="FF18:FF20"/>
    <mergeCell ref="FG18:FG20"/>
    <mergeCell ref="FI18:FI20"/>
    <mergeCell ref="FJ14:FJ16"/>
    <mergeCell ref="FA11:FA13"/>
    <mergeCell ref="FC11:FC13"/>
    <mergeCell ref="FE24:FE26"/>
    <mergeCell ref="FF24:FF26"/>
    <mergeCell ref="FG24:FG26"/>
    <mergeCell ref="FI24:FI26"/>
    <mergeCell ref="EA18:EA20"/>
    <mergeCell ref="EB18:EB20"/>
    <mergeCell ref="EC18:EC20"/>
    <mergeCell ref="ED18:ED20"/>
    <mergeCell ref="EE18:EE20"/>
    <mergeCell ref="EF18:EF20"/>
    <mergeCell ref="EG18:EG20"/>
    <mergeCell ref="EH18:EH20"/>
    <mergeCell ref="EJ18:EJ20"/>
    <mergeCell ref="EK18:EK20"/>
    <mergeCell ref="EL18:EL20"/>
    <mergeCell ref="EN18:EN20"/>
    <mergeCell ref="EO18:EO20"/>
    <mergeCell ref="EP18:EP20"/>
    <mergeCell ref="EQ18:EQ20"/>
    <mergeCell ref="ER18:ER20"/>
    <mergeCell ref="EM18:EM20"/>
    <mergeCell ref="EN5:EN7"/>
    <mergeCell ref="EO5:EO7"/>
    <mergeCell ref="EP5:EP7"/>
    <mergeCell ref="EQ5:EQ7"/>
    <mergeCell ref="ER5:ER7"/>
    <mergeCell ref="ES5:ES7"/>
    <mergeCell ref="ET5:ET7"/>
    <mergeCell ref="EU5:EU7"/>
    <mergeCell ref="EV5:EV7"/>
    <mergeCell ref="EW5:EW7"/>
    <mergeCell ref="EX5:EX7"/>
    <mergeCell ref="EY5:EY7"/>
    <mergeCell ref="EZ5:EZ7"/>
    <mergeCell ref="ES11:ES13"/>
    <mergeCell ref="ET11:ET13"/>
    <mergeCell ref="EU11:EU13"/>
    <mergeCell ref="EV11:EV13"/>
    <mergeCell ref="EW11:EW13"/>
    <mergeCell ref="EX11:EX13"/>
    <mergeCell ref="EY11:EY13"/>
    <mergeCell ref="EZ11:EZ13"/>
    <mergeCell ref="ES8:ES10"/>
    <mergeCell ref="ET8:ET10"/>
    <mergeCell ref="EU8:EU10"/>
    <mergeCell ref="EV8:EV10"/>
    <mergeCell ref="EW8:EW10"/>
    <mergeCell ref="EX8:EX10"/>
    <mergeCell ref="EY8:EY10"/>
    <mergeCell ref="EZ8:EZ10"/>
    <mergeCell ref="DU100:DU101"/>
    <mergeCell ref="DT100:DT101"/>
    <mergeCell ref="DR100:DR101"/>
    <mergeCell ref="DQ100:DQ101"/>
    <mergeCell ref="DP100:DP101"/>
    <mergeCell ref="DO100:DO101"/>
    <mergeCell ref="DN100:DN101"/>
    <mergeCell ref="DM100:DM101"/>
    <mergeCell ref="DY100:DY101"/>
    <mergeCell ref="DX100:DX101"/>
    <mergeCell ref="DW100:DW101"/>
    <mergeCell ref="DV100:DV101"/>
    <mergeCell ref="DZ5:DZ7"/>
    <mergeCell ref="EA5:EA7"/>
    <mergeCell ref="EB5:EB7"/>
    <mergeCell ref="DZ87:DZ89"/>
    <mergeCell ref="EA87:EA89"/>
    <mergeCell ref="EB87:EB89"/>
    <mergeCell ref="DZ78:DZ80"/>
    <mergeCell ref="EA78:EA80"/>
    <mergeCell ref="EB78:EB80"/>
    <mergeCell ref="DZ71:DZ73"/>
    <mergeCell ref="EA71:EA73"/>
    <mergeCell ref="EB71:EB73"/>
    <mergeCell ref="DZ49:DZ51"/>
    <mergeCell ref="EA49:EA51"/>
    <mergeCell ref="EB49:EB51"/>
    <mergeCell ref="DZ37:DZ39"/>
    <mergeCell ref="EA37:EA39"/>
    <mergeCell ref="EB37:EB39"/>
    <mergeCell ref="DZ46:DZ48"/>
    <mergeCell ref="EA46:EA48"/>
    <mergeCell ref="FL112:FL114"/>
    <mergeCell ref="FL115:FL117"/>
    <mergeCell ref="DT5:DT7"/>
    <mergeCell ref="DR5:DR7"/>
    <mergeCell ref="DV5:DV7"/>
    <mergeCell ref="DU5:DU7"/>
    <mergeCell ref="DX5:DX7"/>
    <mergeCell ref="DW5:DW7"/>
    <mergeCell ref="DY5:DY7"/>
    <mergeCell ref="DP103:DP105"/>
    <mergeCell ref="DO103:DO105"/>
    <mergeCell ref="DN103:DN105"/>
    <mergeCell ref="DM103:DM105"/>
    <mergeCell ref="DL103:DL105"/>
    <mergeCell ref="DJ103:DJ105"/>
    <mergeCell ref="DW103:DW105"/>
    <mergeCell ref="DV103:DV105"/>
    <mergeCell ref="DU103:DU105"/>
    <mergeCell ref="DT103:DT105"/>
    <mergeCell ref="DR103:DR105"/>
    <mergeCell ref="DQ103:DQ105"/>
    <mergeCell ref="DY103:DY105"/>
    <mergeCell ref="DX103:DX105"/>
    <mergeCell ref="DL100:DL101"/>
    <mergeCell ref="DJ100:DJ101"/>
    <mergeCell ref="EC5:EC7"/>
    <mergeCell ref="ED5:ED7"/>
    <mergeCell ref="EE5:EE7"/>
    <mergeCell ref="EF5:EF7"/>
    <mergeCell ref="EG5:EG7"/>
    <mergeCell ref="EH5:EH7"/>
    <mergeCell ref="EJ5:EJ7"/>
    <mergeCell ref="FL71:FL73"/>
    <mergeCell ref="FL75:FL77"/>
    <mergeCell ref="FL78:FL80"/>
    <mergeCell ref="FL81:FL83"/>
    <mergeCell ref="FL84:FL86"/>
    <mergeCell ref="FL87:FL89"/>
    <mergeCell ref="FL90:FL92"/>
    <mergeCell ref="FL94:FL96"/>
    <mergeCell ref="FL97:FL99"/>
    <mergeCell ref="FL100:FL101"/>
    <mergeCell ref="FL103:FL105"/>
    <mergeCell ref="FL106:FL108"/>
    <mergeCell ref="FL109:FL111"/>
    <mergeCell ref="EV115:EV117"/>
    <mergeCell ref="EW115:EW117"/>
    <mergeCell ref="EX115:EX117"/>
    <mergeCell ref="EY115:EY117"/>
    <mergeCell ref="EZ115:EZ117"/>
    <mergeCell ref="FA115:FA117"/>
    <mergeCell ref="FC115:FC117"/>
    <mergeCell ref="FD115:FD117"/>
    <mergeCell ref="FE115:FE117"/>
    <mergeCell ref="FF115:FF117"/>
    <mergeCell ref="FG115:FG117"/>
    <mergeCell ref="FI115:FI117"/>
    <mergeCell ref="FJ115:FJ117"/>
    <mergeCell ref="FK115:FK117"/>
    <mergeCell ref="EX112:EX114"/>
    <mergeCell ref="EY112:EY114"/>
    <mergeCell ref="EZ112:EZ114"/>
    <mergeCell ref="FA112:FA114"/>
    <mergeCell ref="FC112:FC114"/>
    <mergeCell ref="FD112:FD114"/>
    <mergeCell ref="FE112:FE114"/>
    <mergeCell ref="FF112:FF114"/>
    <mergeCell ref="FG112:FG114"/>
    <mergeCell ref="FI112:FI114"/>
    <mergeCell ref="FJ112:FJ114"/>
    <mergeCell ref="FK112:FK114"/>
    <mergeCell ref="DZ115:DZ117"/>
    <mergeCell ref="EA115:EA117"/>
    <mergeCell ref="EB115:EB117"/>
    <mergeCell ref="EC115:EC117"/>
    <mergeCell ref="ED115:ED117"/>
    <mergeCell ref="EE115:EE117"/>
    <mergeCell ref="EF115:EF117"/>
    <mergeCell ref="EG115:EG117"/>
    <mergeCell ref="EH115:EH117"/>
    <mergeCell ref="EJ115:EJ117"/>
    <mergeCell ref="EK115:EK117"/>
    <mergeCell ref="EL115:EL117"/>
    <mergeCell ref="EN115:EN117"/>
    <mergeCell ref="EO115:EO117"/>
    <mergeCell ref="EP115:EP117"/>
    <mergeCell ref="EQ115:EQ117"/>
    <mergeCell ref="ER115:ER117"/>
    <mergeCell ref="ES115:ES117"/>
    <mergeCell ref="ET115:ET117"/>
    <mergeCell ref="EU115:EU117"/>
    <mergeCell ref="EI115:EI117"/>
    <mergeCell ref="EZ109:EZ111"/>
    <mergeCell ref="FA109:FA111"/>
    <mergeCell ref="FC109:FC111"/>
    <mergeCell ref="FD109:FD111"/>
    <mergeCell ref="FE109:FE111"/>
    <mergeCell ref="FF109:FF111"/>
    <mergeCell ref="FG109:FG111"/>
    <mergeCell ref="FI109:FI111"/>
    <mergeCell ref="FJ109:FJ111"/>
    <mergeCell ref="FK109:FK111"/>
    <mergeCell ref="DZ112:DZ114"/>
    <mergeCell ref="EA112:EA114"/>
    <mergeCell ref="EB112:EB114"/>
    <mergeCell ref="EC112:EC114"/>
    <mergeCell ref="ED112:ED114"/>
    <mergeCell ref="EE112:EE114"/>
    <mergeCell ref="EF112:EF114"/>
    <mergeCell ref="EG112:EG114"/>
    <mergeCell ref="EH112:EH114"/>
    <mergeCell ref="EJ112:EJ114"/>
    <mergeCell ref="EK112:EK114"/>
    <mergeCell ref="EL112:EL114"/>
    <mergeCell ref="EN112:EN114"/>
    <mergeCell ref="EO112:EO114"/>
    <mergeCell ref="EP112:EP114"/>
    <mergeCell ref="EQ112:EQ114"/>
    <mergeCell ref="ER112:ER114"/>
    <mergeCell ref="ES112:ES114"/>
    <mergeCell ref="ET112:ET114"/>
    <mergeCell ref="EU112:EU114"/>
    <mergeCell ref="EV112:EV114"/>
    <mergeCell ref="EW112:EW114"/>
    <mergeCell ref="FC106:FC108"/>
    <mergeCell ref="FD106:FD108"/>
    <mergeCell ref="FE106:FE108"/>
    <mergeCell ref="FF106:FF108"/>
    <mergeCell ref="FG106:FG108"/>
    <mergeCell ref="FI106:FI108"/>
    <mergeCell ref="FJ106:FJ108"/>
    <mergeCell ref="FK106:FK108"/>
    <mergeCell ref="DZ109:DZ111"/>
    <mergeCell ref="EA109:EA111"/>
    <mergeCell ref="EB109:EB111"/>
    <mergeCell ref="EC109:EC111"/>
    <mergeCell ref="ED109:ED111"/>
    <mergeCell ref="EE109:EE111"/>
    <mergeCell ref="EF109:EF111"/>
    <mergeCell ref="EG109:EG111"/>
    <mergeCell ref="EH109:EH111"/>
    <mergeCell ref="EJ109:EJ111"/>
    <mergeCell ref="EK109:EK111"/>
    <mergeCell ref="EL109:EL111"/>
    <mergeCell ref="EN109:EN111"/>
    <mergeCell ref="EO109:EO111"/>
    <mergeCell ref="EP109:EP111"/>
    <mergeCell ref="EQ109:EQ111"/>
    <mergeCell ref="ER109:ER111"/>
    <mergeCell ref="ES109:ES111"/>
    <mergeCell ref="ET109:ET111"/>
    <mergeCell ref="EU109:EU111"/>
    <mergeCell ref="EV109:EV111"/>
    <mergeCell ref="EW109:EW111"/>
    <mergeCell ref="EX109:EX111"/>
    <mergeCell ref="EY109:EY111"/>
    <mergeCell ref="DZ106:DZ108"/>
    <mergeCell ref="EA106:EA108"/>
    <mergeCell ref="EB106:EB108"/>
    <mergeCell ref="EC106:EC108"/>
    <mergeCell ref="ED106:ED108"/>
    <mergeCell ref="EE106:EE108"/>
    <mergeCell ref="EF106:EF108"/>
    <mergeCell ref="EG106:EG108"/>
    <mergeCell ref="EH106:EH108"/>
    <mergeCell ref="EJ106:EJ108"/>
    <mergeCell ref="EK106:EK108"/>
    <mergeCell ref="EL106:EL108"/>
    <mergeCell ref="EN106:EN108"/>
    <mergeCell ref="EO106:EO108"/>
    <mergeCell ref="EP106:EP108"/>
    <mergeCell ref="EQ106:EQ108"/>
    <mergeCell ref="ER106:ER108"/>
    <mergeCell ref="EM106:EM108"/>
    <mergeCell ref="ES106:ES108"/>
    <mergeCell ref="ET106:ET108"/>
    <mergeCell ref="EU106:EU108"/>
    <mergeCell ref="EV106:EV108"/>
    <mergeCell ref="EW106:EW108"/>
    <mergeCell ref="EX106:EX108"/>
    <mergeCell ref="EY106:EY108"/>
    <mergeCell ref="EZ106:EZ108"/>
    <mergeCell ref="FA106:FA108"/>
    <mergeCell ref="FG97:FG99"/>
    <mergeCell ref="FI97:FI99"/>
    <mergeCell ref="FJ97:FJ99"/>
    <mergeCell ref="FK97:FK99"/>
    <mergeCell ref="DZ97:DZ99"/>
    <mergeCell ref="EA97:EA99"/>
    <mergeCell ref="EB97:EB99"/>
    <mergeCell ref="EC97:EC99"/>
    <mergeCell ref="ED97:ED99"/>
    <mergeCell ref="EE97:EE99"/>
    <mergeCell ref="EF97:EF99"/>
    <mergeCell ref="EG97:EG99"/>
    <mergeCell ref="EH97:EH99"/>
    <mergeCell ref="EJ97:EJ99"/>
    <mergeCell ref="EK97:EK99"/>
    <mergeCell ref="EL97:EL99"/>
    <mergeCell ref="EN97:EN99"/>
    <mergeCell ref="EO97:EO99"/>
    <mergeCell ref="EP97:EP99"/>
    <mergeCell ref="EQ97:EQ99"/>
    <mergeCell ref="ER97:ER99"/>
    <mergeCell ref="ES97:ES99"/>
    <mergeCell ref="ET97:ET99"/>
    <mergeCell ref="EU97:EU99"/>
    <mergeCell ref="EV97:EV99"/>
    <mergeCell ref="EW97:EW99"/>
    <mergeCell ref="EX97:EX99"/>
    <mergeCell ref="EY97:EY99"/>
    <mergeCell ref="EZ97:EZ99"/>
    <mergeCell ref="FA97:FA99"/>
    <mergeCell ref="FC97:FC99"/>
    <mergeCell ref="FD97:FD99"/>
    <mergeCell ref="FE97:FE99"/>
    <mergeCell ref="FF97:FF99"/>
    <mergeCell ref="FE94:FE96"/>
    <mergeCell ref="FF94:FF96"/>
    <mergeCell ref="FG94:FG96"/>
    <mergeCell ref="FI94:FI96"/>
    <mergeCell ref="ES90:ES92"/>
    <mergeCell ref="ET90:ET92"/>
    <mergeCell ref="EU90:EU92"/>
    <mergeCell ref="EV90:EV92"/>
    <mergeCell ref="EW90:EW92"/>
    <mergeCell ref="EX90:EX92"/>
    <mergeCell ref="EY90:EY92"/>
    <mergeCell ref="EZ90:EZ92"/>
    <mergeCell ref="FA90:FA92"/>
    <mergeCell ref="FC90:FC92"/>
    <mergeCell ref="FD90:FD92"/>
    <mergeCell ref="FE90:FE92"/>
    <mergeCell ref="FF90:FF92"/>
    <mergeCell ref="FG90:FG92"/>
    <mergeCell ref="FI90:FI92"/>
    <mergeCell ref="ES94:ES96"/>
    <mergeCell ref="EV87:EV89"/>
    <mergeCell ref="EW87:EW89"/>
    <mergeCell ref="EX87:EX89"/>
    <mergeCell ref="EY87:EY89"/>
    <mergeCell ref="EZ87:EZ89"/>
    <mergeCell ref="FA87:FA89"/>
    <mergeCell ref="FC87:FC89"/>
    <mergeCell ref="FD87:FD89"/>
    <mergeCell ref="FE87:FE89"/>
    <mergeCell ref="FF87:FF89"/>
    <mergeCell ref="FG87:FG89"/>
    <mergeCell ref="FI87:FI89"/>
    <mergeCell ref="FJ87:FJ89"/>
    <mergeCell ref="FK87:FK89"/>
    <mergeCell ref="FJ90:FJ92"/>
    <mergeCell ref="FK90:FK92"/>
    <mergeCell ref="DZ90:DZ92"/>
    <mergeCell ref="EA90:EA92"/>
    <mergeCell ref="EB90:EB92"/>
    <mergeCell ref="EC90:EC92"/>
    <mergeCell ref="ED90:ED92"/>
    <mergeCell ref="EE90:EE92"/>
    <mergeCell ref="EF90:EF92"/>
    <mergeCell ref="EG90:EG92"/>
    <mergeCell ref="EH90:EH92"/>
    <mergeCell ref="EJ90:EJ92"/>
    <mergeCell ref="EK90:EK92"/>
    <mergeCell ref="EL90:EL92"/>
    <mergeCell ref="EN90:EN92"/>
    <mergeCell ref="EO90:EO92"/>
    <mergeCell ref="EP90:EP92"/>
    <mergeCell ref="EQ90:EQ92"/>
    <mergeCell ref="ED87:ED89"/>
    <mergeCell ref="EE87:EE89"/>
    <mergeCell ref="EF87:EF89"/>
    <mergeCell ref="EG87:EG89"/>
    <mergeCell ref="EH87:EH89"/>
    <mergeCell ref="EJ87:EJ89"/>
    <mergeCell ref="EK87:EK89"/>
    <mergeCell ref="EL87:EL89"/>
    <mergeCell ref="EN87:EN89"/>
    <mergeCell ref="EO87:EO89"/>
    <mergeCell ref="EP87:EP89"/>
    <mergeCell ref="EQ87:EQ89"/>
    <mergeCell ref="ER87:ER89"/>
    <mergeCell ref="ES84:ES86"/>
    <mergeCell ref="ET84:ET86"/>
    <mergeCell ref="EU84:EU86"/>
    <mergeCell ref="ES87:ES89"/>
    <mergeCell ref="ET87:ET89"/>
    <mergeCell ref="EU87:EU89"/>
    <mergeCell ref="EV84:EV86"/>
    <mergeCell ref="EW84:EW86"/>
    <mergeCell ref="EX84:EX86"/>
    <mergeCell ref="EY84:EY86"/>
    <mergeCell ref="EZ84:EZ86"/>
    <mergeCell ref="FA84:FA86"/>
    <mergeCell ref="FC84:FC86"/>
    <mergeCell ref="FD84:FD86"/>
    <mergeCell ref="FE84:FE86"/>
    <mergeCell ref="FF84:FF86"/>
    <mergeCell ref="FG84:FG86"/>
    <mergeCell ref="FI84:FI86"/>
    <mergeCell ref="FJ84:FJ86"/>
    <mergeCell ref="FK84:FK86"/>
    <mergeCell ref="DZ84:DZ86"/>
    <mergeCell ref="EA84:EA86"/>
    <mergeCell ref="EB84:EB86"/>
    <mergeCell ref="EC84:EC86"/>
    <mergeCell ref="ED84:ED86"/>
    <mergeCell ref="EE84:EE86"/>
    <mergeCell ref="EF84:EF86"/>
    <mergeCell ref="EG84:EG86"/>
    <mergeCell ref="EH84:EH86"/>
    <mergeCell ref="EJ84:EJ86"/>
    <mergeCell ref="EK84:EK86"/>
    <mergeCell ref="EL84:EL86"/>
    <mergeCell ref="EN84:EN86"/>
    <mergeCell ref="EO84:EO86"/>
    <mergeCell ref="EP84:EP86"/>
    <mergeCell ref="EQ84:EQ86"/>
    <mergeCell ref="ER84:ER86"/>
    <mergeCell ref="ES81:ES83"/>
    <mergeCell ref="ET81:ET83"/>
    <mergeCell ref="EU81:EU83"/>
    <mergeCell ref="EV81:EV83"/>
    <mergeCell ref="EW81:EW83"/>
    <mergeCell ref="EX81:EX83"/>
    <mergeCell ref="EY81:EY83"/>
    <mergeCell ref="EZ81:EZ83"/>
    <mergeCell ref="FA81:FA83"/>
    <mergeCell ref="FC81:FC83"/>
    <mergeCell ref="FD81:FD83"/>
    <mergeCell ref="FE81:FE83"/>
    <mergeCell ref="FF81:FF83"/>
    <mergeCell ref="FG81:FG83"/>
    <mergeCell ref="FI81:FI83"/>
    <mergeCell ref="FJ81:FJ83"/>
    <mergeCell ref="FK81:FK83"/>
    <mergeCell ref="EU78:EU80"/>
    <mergeCell ref="EV78:EV80"/>
    <mergeCell ref="EW78:EW80"/>
    <mergeCell ref="EX78:EX80"/>
    <mergeCell ref="EY78:EY80"/>
    <mergeCell ref="EZ78:EZ80"/>
    <mergeCell ref="FA78:FA80"/>
    <mergeCell ref="FC78:FC80"/>
    <mergeCell ref="FD78:FD80"/>
    <mergeCell ref="FE78:FE80"/>
    <mergeCell ref="FF78:FF80"/>
    <mergeCell ref="FG78:FG80"/>
    <mergeCell ref="FI78:FI80"/>
    <mergeCell ref="FJ78:FJ80"/>
    <mergeCell ref="FK78:FK80"/>
    <mergeCell ref="DZ81:DZ83"/>
    <mergeCell ref="EA81:EA83"/>
    <mergeCell ref="EB81:EB83"/>
    <mergeCell ref="EC81:EC83"/>
    <mergeCell ref="ED81:ED83"/>
    <mergeCell ref="EE81:EE83"/>
    <mergeCell ref="EF81:EF83"/>
    <mergeCell ref="EG81:EG83"/>
    <mergeCell ref="EH81:EH83"/>
    <mergeCell ref="EJ81:EJ83"/>
    <mergeCell ref="EK81:EK83"/>
    <mergeCell ref="EL81:EL83"/>
    <mergeCell ref="EN81:EN83"/>
    <mergeCell ref="EO81:EO83"/>
    <mergeCell ref="EP81:EP83"/>
    <mergeCell ref="EQ81:EQ83"/>
    <mergeCell ref="ER81:ER83"/>
    <mergeCell ref="EC78:EC80"/>
    <mergeCell ref="ED78:ED80"/>
    <mergeCell ref="EE78:EE80"/>
    <mergeCell ref="EF78:EF80"/>
    <mergeCell ref="EG78:EG80"/>
    <mergeCell ref="EH78:EH80"/>
    <mergeCell ref="EJ78:EJ80"/>
    <mergeCell ref="EK78:EK80"/>
    <mergeCell ref="EL78:EL80"/>
    <mergeCell ref="EN78:EN80"/>
    <mergeCell ref="EO78:EO80"/>
    <mergeCell ref="EP78:EP80"/>
    <mergeCell ref="EQ78:EQ80"/>
    <mergeCell ref="ER78:ER80"/>
    <mergeCell ref="ES78:ES80"/>
    <mergeCell ref="ET78:ET80"/>
    <mergeCell ref="EX71:EX73"/>
    <mergeCell ref="EC71:EC73"/>
    <mergeCell ref="ED71:ED73"/>
    <mergeCell ref="EE71:EE73"/>
    <mergeCell ref="EF71:EF73"/>
    <mergeCell ref="EG71:EG73"/>
    <mergeCell ref="EH71:EH73"/>
    <mergeCell ref="EJ71:EJ73"/>
    <mergeCell ref="EK71:EK73"/>
    <mergeCell ref="EL71:EL73"/>
    <mergeCell ref="EN71:EN73"/>
    <mergeCell ref="EO71:EO73"/>
    <mergeCell ref="EP71:EP73"/>
    <mergeCell ref="EQ71:EQ73"/>
    <mergeCell ref="ER71:ER73"/>
    <mergeCell ref="ES71:ES73"/>
    <mergeCell ref="FE71:FE73"/>
    <mergeCell ref="FF71:FF73"/>
    <mergeCell ref="FG71:FG73"/>
    <mergeCell ref="FI71:FI73"/>
    <mergeCell ref="FJ71:FJ73"/>
    <mergeCell ref="FK71:FK73"/>
    <mergeCell ref="EZ68:EZ70"/>
    <mergeCell ref="FA68:FA70"/>
    <mergeCell ref="FC68:FC70"/>
    <mergeCell ref="FD68:FD70"/>
    <mergeCell ref="FE68:FE70"/>
    <mergeCell ref="FF68:FF70"/>
    <mergeCell ref="FG68:FG70"/>
    <mergeCell ref="FI68:FI70"/>
    <mergeCell ref="FJ68:FJ70"/>
    <mergeCell ref="FK68:FK70"/>
    <mergeCell ref="ET71:ET73"/>
    <mergeCell ref="EU71:EU73"/>
    <mergeCell ref="EV71:EV73"/>
    <mergeCell ref="EW71:EW73"/>
    <mergeCell ref="FE65:FE67"/>
    <mergeCell ref="FF65:FF67"/>
    <mergeCell ref="FG65:FG67"/>
    <mergeCell ref="FI65:FI67"/>
    <mergeCell ref="FJ65:FJ67"/>
    <mergeCell ref="FK65:FK67"/>
    <mergeCell ref="DZ68:DZ70"/>
    <mergeCell ref="EA68:EA70"/>
    <mergeCell ref="EB68:EB70"/>
    <mergeCell ref="EC68:EC70"/>
    <mergeCell ref="ED68:ED70"/>
    <mergeCell ref="EE68:EE70"/>
    <mergeCell ref="EF68:EF70"/>
    <mergeCell ref="EG68:EG70"/>
    <mergeCell ref="EH68:EH70"/>
    <mergeCell ref="EJ68:EJ70"/>
    <mergeCell ref="EK68:EK70"/>
    <mergeCell ref="EL68:EL70"/>
    <mergeCell ref="EN68:EN70"/>
    <mergeCell ref="EO68:EO70"/>
    <mergeCell ref="EP68:EP70"/>
    <mergeCell ref="EQ68:EQ70"/>
    <mergeCell ref="ER68:ER70"/>
    <mergeCell ref="ES68:ES70"/>
    <mergeCell ref="ET68:ET70"/>
    <mergeCell ref="EU68:EU70"/>
    <mergeCell ref="EV68:EV70"/>
    <mergeCell ref="EW68:EW70"/>
    <mergeCell ref="EX68:EX70"/>
    <mergeCell ref="EY68:EY70"/>
    <mergeCell ref="FE62:FE64"/>
    <mergeCell ref="FF62:FF64"/>
    <mergeCell ref="FG62:FG64"/>
    <mergeCell ref="FI62:FI64"/>
    <mergeCell ref="FJ62:FJ64"/>
    <mergeCell ref="FK62:FK64"/>
    <mergeCell ref="DZ65:DZ67"/>
    <mergeCell ref="EA65:EA67"/>
    <mergeCell ref="EB65:EB67"/>
    <mergeCell ref="EC65:EC67"/>
    <mergeCell ref="ED65:ED67"/>
    <mergeCell ref="EE65:EE67"/>
    <mergeCell ref="EF65:EF67"/>
    <mergeCell ref="EG65:EG67"/>
    <mergeCell ref="EH65:EH67"/>
    <mergeCell ref="EJ65:EJ67"/>
    <mergeCell ref="EK65:EK67"/>
    <mergeCell ref="EL65:EL67"/>
    <mergeCell ref="EN65:EN67"/>
    <mergeCell ref="EO65:EO67"/>
    <mergeCell ref="EP65:EP67"/>
    <mergeCell ref="EQ65:EQ67"/>
    <mergeCell ref="ER65:ER67"/>
    <mergeCell ref="ES65:ES67"/>
    <mergeCell ref="ET65:ET67"/>
    <mergeCell ref="EU65:EU67"/>
    <mergeCell ref="EV65:EV67"/>
    <mergeCell ref="EW65:EW67"/>
    <mergeCell ref="EX65:EX67"/>
    <mergeCell ref="EY65:EY67"/>
    <mergeCell ref="EZ65:EZ67"/>
    <mergeCell ref="FA65:FA67"/>
    <mergeCell ref="FG59:FG61"/>
    <mergeCell ref="FI59:FI61"/>
    <mergeCell ref="FJ59:FJ61"/>
    <mergeCell ref="FK59:FK61"/>
    <mergeCell ref="DZ62:DZ64"/>
    <mergeCell ref="EA62:EA64"/>
    <mergeCell ref="EB62:EB64"/>
    <mergeCell ref="EC62:EC64"/>
    <mergeCell ref="ED62:ED64"/>
    <mergeCell ref="EE62:EE64"/>
    <mergeCell ref="EF62:EF64"/>
    <mergeCell ref="EG62:EG64"/>
    <mergeCell ref="EH62:EH64"/>
    <mergeCell ref="EJ62:EJ64"/>
    <mergeCell ref="EK62:EK64"/>
    <mergeCell ref="EL62:EL64"/>
    <mergeCell ref="EN62:EN64"/>
    <mergeCell ref="EO62:EO64"/>
    <mergeCell ref="EP62:EP64"/>
    <mergeCell ref="EQ62:EQ64"/>
    <mergeCell ref="ER62:ER64"/>
    <mergeCell ref="ES62:ES64"/>
    <mergeCell ref="ET62:ET64"/>
    <mergeCell ref="EU62:EU64"/>
    <mergeCell ref="EV62:EV64"/>
    <mergeCell ref="EW62:EW64"/>
    <mergeCell ref="EX62:EX64"/>
    <mergeCell ref="EY62:EY64"/>
    <mergeCell ref="EZ62:EZ64"/>
    <mergeCell ref="FA62:FA64"/>
    <mergeCell ref="FC62:FC64"/>
    <mergeCell ref="FD62:FD64"/>
    <mergeCell ref="DZ59:DZ61"/>
    <mergeCell ref="EA59:EA61"/>
    <mergeCell ref="EB59:EB61"/>
    <mergeCell ref="EC59:EC61"/>
    <mergeCell ref="ED59:ED61"/>
    <mergeCell ref="EE59:EE61"/>
    <mergeCell ref="EF59:EF61"/>
    <mergeCell ref="EG59:EG61"/>
    <mergeCell ref="EH59:EH61"/>
    <mergeCell ref="EJ59:EJ61"/>
    <mergeCell ref="EK59:EK61"/>
    <mergeCell ref="EL59:EL61"/>
    <mergeCell ref="EN59:EN61"/>
    <mergeCell ref="EO59:EO61"/>
    <mergeCell ref="EP59:EP61"/>
    <mergeCell ref="EQ59:EQ61"/>
    <mergeCell ref="ER59:ER61"/>
    <mergeCell ref="EZ59:EZ61"/>
    <mergeCell ref="FA59:FA61"/>
    <mergeCell ref="FC59:FC61"/>
    <mergeCell ref="FD59:FD61"/>
    <mergeCell ref="ER52:ER54"/>
    <mergeCell ref="FE59:FE61"/>
    <mergeCell ref="FF59:FF61"/>
    <mergeCell ref="FE56:FE58"/>
    <mergeCell ref="FF56:FF58"/>
    <mergeCell ref="FG56:FG58"/>
    <mergeCell ref="FI56:FI58"/>
    <mergeCell ref="ES52:ES54"/>
    <mergeCell ref="ET52:ET54"/>
    <mergeCell ref="EU52:EU54"/>
    <mergeCell ref="EV52:EV54"/>
    <mergeCell ref="EW52:EW54"/>
    <mergeCell ref="EX52:EX54"/>
    <mergeCell ref="EY52:EY54"/>
    <mergeCell ref="EZ52:EZ54"/>
    <mergeCell ref="FA52:FA54"/>
    <mergeCell ref="FC52:FC54"/>
    <mergeCell ref="FD52:FD54"/>
    <mergeCell ref="FE52:FE54"/>
    <mergeCell ref="FF52:FF54"/>
    <mergeCell ref="FG52:FG54"/>
    <mergeCell ref="FI52:FI54"/>
    <mergeCell ref="ES56:ES58"/>
    <mergeCell ref="ET56:ET58"/>
    <mergeCell ref="EU56:EU58"/>
    <mergeCell ref="EV56:EV58"/>
    <mergeCell ref="EW56:EW58"/>
    <mergeCell ref="EX56:EX58"/>
    <mergeCell ref="EY56:EY58"/>
    <mergeCell ref="EZ56:EZ58"/>
    <mergeCell ref="FA56:FA58"/>
    <mergeCell ref="FC56:FC58"/>
    <mergeCell ref="EV49:EV51"/>
    <mergeCell ref="EW49:EW51"/>
    <mergeCell ref="EX49:EX51"/>
    <mergeCell ref="EY49:EY51"/>
    <mergeCell ref="EZ49:EZ51"/>
    <mergeCell ref="FA49:FA51"/>
    <mergeCell ref="FC49:FC51"/>
    <mergeCell ref="FD49:FD51"/>
    <mergeCell ref="FE49:FE51"/>
    <mergeCell ref="FF49:FF51"/>
    <mergeCell ref="FG49:FG51"/>
    <mergeCell ref="FI49:FI51"/>
    <mergeCell ref="FJ49:FJ51"/>
    <mergeCell ref="FK49:FK51"/>
    <mergeCell ref="FJ52:FJ54"/>
    <mergeCell ref="FK52:FK54"/>
    <mergeCell ref="DZ52:DZ54"/>
    <mergeCell ref="EA52:EA54"/>
    <mergeCell ref="EB52:EB54"/>
    <mergeCell ref="EC52:EC54"/>
    <mergeCell ref="ED52:ED54"/>
    <mergeCell ref="EE52:EE54"/>
    <mergeCell ref="EF52:EF54"/>
    <mergeCell ref="EG52:EG54"/>
    <mergeCell ref="EH52:EH54"/>
    <mergeCell ref="EJ52:EJ54"/>
    <mergeCell ref="EK52:EK54"/>
    <mergeCell ref="EL52:EL54"/>
    <mergeCell ref="EN52:EN54"/>
    <mergeCell ref="EO52:EO54"/>
    <mergeCell ref="EP52:EP54"/>
    <mergeCell ref="EQ52:EQ54"/>
    <mergeCell ref="EC49:EC51"/>
    <mergeCell ref="ED49:ED51"/>
    <mergeCell ref="EE49:EE51"/>
    <mergeCell ref="EF49:EF51"/>
    <mergeCell ref="EG49:EG51"/>
    <mergeCell ref="EH49:EH51"/>
    <mergeCell ref="EJ49:EJ51"/>
    <mergeCell ref="EK49:EK51"/>
    <mergeCell ref="EL49:EL51"/>
    <mergeCell ref="EN49:EN51"/>
    <mergeCell ref="EO49:EO51"/>
    <mergeCell ref="EP49:EP51"/>
    <mergeCell ref="EQ49:EQ51"/>
    <mergeCell ref="ER49:ER51"/>
    <mergeCell ref="ES46:ES48"/>
    <mergeCell ref="ET46:ET48"/>
    <mergeCell ref="EU46:EU48"/>
    <mergeCell ref="ES49:ES51"/>
    <mergeCell ref="ET49:ET51"/>
    <mergeCell ref="EU49:EU51"/>
    <mergeCell ref="EM46:EM48"/>
    <mergeCell ref="EM49:EM51"/>
    <mergeCell ref="EB46:EB48"/>
    <mergeCell ref="EC46:EC48"/>
    <mergeCell ref="ED46:ED48"/>
    <mergeCell ref="EE46:EE48"/>
    <mergeCell ref="EF46:EF48"/>
    <mergeCell ref="EG46:EG48"/>
    <mergeCell ref="EH46:EH48"/>
    <mergeCell ref="EJ46:EJ48"/>
    <mergeCell ref="EK46:EK48"/>
    <mergeCell ref="EL46:EL48"/>
    <mergeCell ref="EN46:EN48"/>
    <mergeCell ref="EO46:EO48"/>
    <mergeCell ref="EP46:EP48"/>
    <mergeCell ref="EQ46:EQ48"/>
    <mergeCell ref="ER46:ER48"/>
    <mergeCell ref="EZ43:EZ45"/>
    <mergeCell ref="FA43:FA45"/>
    <mergeCell ref="FC43:FC45"/>
    <mergeCell ref="FD43:FD45"/>
    <mergeCell ref="FE43:FE45"/>
    <mergeCell ref="FF43:FF45"/>
    <mergeCell ref="FG43:FG45"/>
    <mergeCell ref="FI43:FI45"/>
    <mergeCell ref="FJ43:FJ45"/>
    <mergeCell ref="FK43:FK45"/>
    <mergeCell ref="EV46:EV48"/>
    <mergeCell ref="EW46:EW48"/>
    <mergeCell ref="EX46:EX48"/>
    <mergeCell ref="EY46:EY48"/>
    <mergeCell ref="EZ46:EZ48"/>
    <mergeCell ref="FA46:FA48"/>
    <mergeCell ref="FC46:FC48"/>
    <mergeCell ref="FD46:FD48"/>
    <mergeCell ref="FE46:FE48"/>
    <mergeCell ref="FF46:FF48"/>
    <mergeCell ref="FG46:FG48"/>
    <mergeCell ref="FI46:FI48"/>
    <mergeCell ref="FJ46:FJ48"/>
    <mergeCell ref="FK46:FK48"/>
    <mergeCell ref="FC40:FC42"/>
    <mergeCell ref="FD40:FD42"/>
    <mergeCell ref="FE40:FE42"/>
    <mergeCell ref="FF40:FF42"/>
    <mergeCell ref="FG40:FG42"/>
    <mergeCell ref="FI40:FI42"/>
    <mergeCell ref="FJ40:FJ42"/>
    <mergeCell ref="FK40:FK42"/>
    <mergeCell ref="DZ43:DZ45"/>
    <mergeCell ref="EA43:EA45"/>
    <mergeCell ref="EB43:EB45"/>
    <mergeCell ref="EC43:EC45"/>
    <mergeCell ref="ED43:ED45"/>
    <mergeCell ref="EE43:EE45"/>
    <mergeCell ref="EF43:EF45"/>
    <mergeCell ref="EG43:EG45"/>
    <mergeCell ref="EH43:EH45"/>
    <mergeCell ref="EJ43:EJ45"/>
    <mergeCell ref="EK43:EK45"/>
    <mergeCell ref="EL43:EL45"/>
    <mergeCell ref="EN43:EN45"/>
    <mergeCell ref="EO43:EO45"/>
    <mergeCell ref="EP43:EP45"/>
    <mergeCell ref="EQ43:EQ45"/>
    <mergeCell ref="ER43:ER45"/>
    <mergeCell ref="ES43:ES45"/>
    <mergeCell ref="ET43:ET45"/>
    <mergeCell ref="EU43:EU45"/>
    <mergeCell ref="EV43:EV45"/>
    <mergeCell ref="EW43:EW45"/>
    <mergeCell ref="EX43:EX45"/>
    <mergeCell ref="EY43:EY45"/>
    <mergeCell ref="DZ40:DZ42"/>
    <mergeCell ref="EA40:EA42"/>
    <mergeCell ref="EB40:EB42"/>
    <mergeCell ref="EC40:EC42"/>
    <mergeCell ref="ED40:ED42"/>
    <mergeCell ref="EE40:EE42"/>
    <mergeCell ref="EF40:EF42"/>
    <mergeCell ref="EG40:EG42"/>
    <mergeCell ref="EH40:EH42"/>
    <mergeCell ref="EJ40:EJ42"/>
    <mergeCell ref="EK40:EK42"/>
    <mergeCell ref="EL40:EL42"/>
    <mergeCell ref="EN40:EN42"/>
    <mergeCell ref="EO40:EO42"/>
    <mergeCell ref="EP40:EP42"/>
    <mergeCell ref="EQ40:EQ42"/>
    <mergeCell ref="ER40:ER42"/>
    <mergeCell ref="ES40:ES42"/>
    <mergeCell ref="ET40:ET42"/>
    <mergeCell ref="EU40:EU42"/>
    <mergeCell ref="EV40:EV42"/>
    <mergeCell ref="EW40:EW42"/>
    <mergeCell ref="EX40:EX42"/>
    <mergeCell ref="EY40:EY42"/>
    <mergeCell ref="EZ40:EZ42"/>
    <mergeCell ref="FA40:FA42"/>
    <mergeCell ref="EC37:EC39"/>
    <mergeCell ref="ED37:ED39"/>
    <mergeCell ref="EE37:EE39"/>
    <mergeCell ref="EF37:EF39"/>
    <mergeCell ref="EG37:EG39"/>
    <mergeCell ref="EH37:EH39"/>
    <mergeCell ref="EJ37:EJ39"/>
    <mergeCell ref="EK37:EK39"/>
    <mergeCell ref="EL37:EL39"/>
    <mergeCell ref="EN37:EN39"/>
    <mergeCell ref="EO37:EO39"/>
    <mergeCell ref="EP37:EP39"/>
    <mergeCell ref="EQ37:EQ39"/>
    <mergeCell ref="ER37:ER39"/>
    <mergeCell ref="ES37:ES39"/>
    <mergeCell ref="ET37:ET39"/>
    <mergeCell ref="EU37:EU39"/>
    <mergeCell ref="EM37:EM39"/>
    <mergeCell ref="EV37:EV39"/>
    <mergeCell ref="EZ27:EZ29"/>
    <mergeCell ref="FA27:FA29"/>
    <mergeCell ref="EW37:EW39"/>
    <mergeCell ref="EX37:EX39"/>
    <mergeCell ref="EY37:EY39"/>
    <mergeCell ref="EZ37:EZ39"/>
    <mergeCell ref="FA37:FA39"/>
    <mergeCell ref="FC37:FC39"/>
    <mergeCell ref="FD37:FD39"/>
    <mergeCell ref="DZ30:DZ32"/>
    <mergeCell ref="EA30:EA32"/>
    <mergeCell ref="EB30:EB32"/>
    <mergeCell ref="EC30:EC32"/>
    <mergeCell ref="ED30:ED32"/>
    <mergeCell ref="EE30:EE32"/>
    <mergeCell ref="EF30:EF32"/>
    <mergeCell ref="EG30:EG32"/>
    <mergeCell ref="EH30:EH32"/>
    <mergeCell ref="EJ30:EJ32"/>
    <mergeCell ref="EK30:EK32"/>
    <mergeCell ref="EL30:EL32"/>
    <mergeCell ref="EN30:EN32"/>
    <mergeCell ref="EO30:EO32"/>
    <mergeCell ref="EP30:EP32"/>
    <mergeCell ref="EQ30:EQ32"/>
    <mergeCell ref="ER30:ER32"/>
    <mergeCell ref="EM30:EM32"/>
    <mergeCell ref="EN34:EN36"/>
    <mergeCell ref="EO34:EO36"/>
    <mergeCell ref="EP34:EP36"/>
    <mergeCell ref="EQ34:EQ36"/>
    <mergeCell ref="ER34:ER36"/>
    <mergeCell ref="FJ24:FJ26"/>
    <mergeCell ref="FK24:FK26"/>
    <mergeCell ref="DZ27:DZ29"/>
    <mergeCell ref="EA27:EA29"/>
    <mergeCell ref="EB27:EB29"/>
    <mergeCell ref="EC27:EC29"/>
    <mergeCell ref="ED27:ED29"/>
    <mergeCell ref="EE27:EE29"/>
    <mergeCell ref="EF27:EF29"/>
    <mergeCell ref="EG27:EG29"/>
    <mergeCell ref="EH27:EH29"/>
    <mergeCell ref="EJ27:EJ29"/>
    <mergeCell ref="EK27:EK29"/>
    <mergeCell ref="EL27:EL29"/>
    <mergeCell ref="EN27:EN29"/>
    <mergeCell ref="EO27:EO29"/>
    <mergeCell ref="EP27:EP29"/>
    <mergeCell ref="EQ27:EQ29"/>
    <mergeCell ref="ER27:ER29"/>
    <mergeCell ref="ES27:ES29"/>
    <mergeCell ref="ET27:ET29"/>
    <mergeCell ref="FH24:FH26"/>
    <mergeCell ref="FH27:FH29"/>
    <mergeCell ref="EM24:EM26"/>
    <mergeCell ref="EM27:EM29"/>
    <mergeCell ref="EI24:EI26"/>
    <mergeCell ref="EI27:EI29"/>
    <mergeCell ref="FK27:FK29"/>
    <mergeCell ref="EV27:EV29"/>
    <mergeCell ref="EW27:EW29"/>
    <mergeCell ref="EX27:EX29"/>
    <mergeCell ref="EY27:EY29"/>
    <mergeCell ref="FK21:FK23"/>
    <mergeCell ref="DZ24:DZ26"/>
    <mergeCell ref="EA24:EA26"/>
    <mergeCell ref="EB24:EB26"/>
    <mergeCell ref="EC24:EC26"/>
    <mergeCell ref="ED24:ED26"/>
    <mergeCell ref="EE24:EE26"/>
    <mergeCell ref="EF24:EF26"/>
    <mergeCell ref="EG24:EG26"/>
    <mergeCell ref="EH24:EH26"/>
    <mergeCell ref="EJ24:EJ26"/>
    <mergeCell ref="EK24:EK26"/>
    <mergeCell ref="EL24:EL26"/>
    <mergeCell ref="EN24:EN26"/>
    <mergeCell ref="EO24:EO26"/>
    <mergeCell ref="EP24:EP26"/>
    <mergeCell ref="EQ24:EQ26"/>
    <mergeCell ref="ER24:ER26"/>
    <mergeCell ref="ES24:ES26"/>
    <mergeCell ref="ET24:ET26"/>
    <mergeCell ref="EU24:EU26"/>
    <mergeCell ref="EV24:EV26"/>
    <mergeCell ref="EW24:EW26"/>
    <mergeCell ref="EX24:EX26"/>
    <mergeCell ref="EY24:EY26"/>
    <mergeCell ref="EZ24:EZ26"/>
    <mergeCell ref="FA24:FA26"/>
    <mergeCell ref="FC24:FC26"/>
    <mergeCell ref="FD24:FD26"/>
    <mergeCell ref="DZ21:DZ23"/>
    <mergeCell ref="EA21:EA23"/>
    <mergeCell ref="EB21:EB23"/>
    <mergeCell ref="FI14:FI16"/>
    <mergeCell ref="ES18:ES20"/>
    <mergeCell ref="ET18:ET20"/>
    <mergeCell ref="EU18:EU20"/>
    <mergeCell ref="EV18:EV20"/>
    <mergeCell ref="EW18:EW20"/>
    <mergeCell ref="EX18:EX20"/>
    <mergeCell ref="EY18:EY20"/>
    <mergeCell ref="EZ18:EZ20"/>
    <mergeCell ref="EC21:EC23"/>
    <mergeCell ref="ED21:ED23"/>
    <mergeCell ref="EE21:EE23"/>
    <mergeCell ref="EF21:EF23"/>
    <mergeCell ref="EG21:EG23"/>
    <mergeCell ref="EH21:EH23"/>
    <mergeCell ref="EJ21:EJ23"/>
    <mergeCell ref="EK21:EK23"/>
    <mergeCell ref="EL21:EL23"/>
    <mergeCell ref="EN21:EN23"/>
    <mergeCell ref="EO21:EO23"/>
    <mergeCell ref="EP21:EP23"/>
    <mergeCell ref="EQ21:EQ23"/>
    <mergeCell ref="ER21:ER23"/>
    <mergeCell ref="ES21:ES23"/>
    <mergeCell ref="ET21:ET23"/>
    <mergeCell ref="EU21:EU23"/>
    <mergeCell ref="EM14:EM16"/>
    <mergeCell ref="EM21:EM23"/>
    <mergeCell ref="FH14:FH16"/>
    <mergeCell ref="FH18:FH20"/>
    <mergeCell ref="FH21:FH23"/>
    <mergeCell ref="FK14:FK16"/>
    <mergeCell ref="DZ14:DZ16"/>
    <mergeCell ref="EA14:EA16"/>
    <mergeCell ref="EB14:EB16"/>
    <mergeCell ref="EC14:EC16"/>
    <mergeCell ref="ED14:ED16"/>
    <mergeCell ref="EE14:EE16"/>
    <mergeCell ref="EF14:EF16"/>
    <mergeCell ref="EG14:EG16"/>
    <mergeCell ref="EH14:EH16"/>
    <mergeCell ref="EJ14:EJ16"/>
    <mergeCell ref="EK14:EK16"/>
    <mergeCell ref="EL14:EL16"/>
    <mergeCell ref="EN14:EN16"/>
    <mergeCell ref="EO14:EO16"/>
    <mergeCell ref="EP14:EP16"/>
    <mergeCell ref="EQ14:EQ16"/>
    <mergeCell ref="ER14:ER16"/>
    <mergeCell ref="ES14:ES16"/>
    <mergeCell ref="ET14:ET16"/>
    <mergeCell ref="EU14:EU16"/>
    <mergeCell ref="EV14:EV16"/>
    <mergeCell ref="EW14:EW16"/>
    <mergeCell ref="EX14:EX16"/>
    <mergeCell ref="EY14:EY16"/>
    <mergeCell ref="EZ14:EZ16"/>
    <mergeCell ref="FA14:FA16"/>
    <mergeCell ref="FC14:FC16"/>
    <mergeCell ref="FD14:FD16"/>
    <mergeCell ref="FE14:FE16"/>
    <mergeCell ref="FF14:FF16"/>
    <mergeCell ref="FG14:FG16"/>
    <mergeCell ref="FI11:FI13"/>
    <mergeCell ref="FJ11:FJ13"/>
    <mergeCell ref="FK11:FK13"/>
    <mergeCell ref="DZ11:DZ13"/>
    <mergeCell ref="EA11:EA13"/>
    <mergeCell ref="EB11:EB13"/>
    <mergeCell ref="EC11:EC13"/>
    <mergeCell ref="ED11:ED13"/>
    <mergeCell ref="EE11:EE13"/>
    <mergeCell ref="EF11:EF13"/>
    <mergeCell ref="EG11:EG13"/>
    <mergeCell ref="EH11:EH13"/>
    <mergeCell ref="EJ11:EJ13"/>
    <mergeCell ref="EK11:EK13"/>
    <mergeCell ref="EL11:EL13"/>
    <mergeCell ref="EN11:EN13"/>
    <mergeCell ref="EO11:EO13"/>
    <mergeCell ref="EP11:EP13"/>
    <mergeCell ref="EQ11:EQ13"/>
    <mergeCell ref="ER11:ER13"/>
    <mergeCell ref="FH11:FH13"/>
    <mergeCell ref="FI8:FI10"/>
    <mergeCell ref="FJ8:FJ10"/>
    <mergeCell ref="FK8:FK10"/>
    <mergeCell ref="DZ8:DZ10"/>
    <mergeCell ref="EA8:EA10"/>
    <mergeCell ref="EB8:EB10"/>
    <mergeCell ref="EC8:EC10"/>
    <mergeCell ref="ED8:ED10"/>
    <mergeCell ref="EE8:EE10"/>
    <mergeCell ref="EF8:EF10"/>
    <mergeCell ref="EG8:EG10"/>
    <mergeCell ref="EH8:EH10"/>
    <mergeCell ref="EJ8:EJ10"/>
    <mergeCell ref="EK8:EK10"/>
    <mergeCell ref="EL8:EL10"/>
    <mergeCell ref="EN8:EN10"/>
    <mergeCell ref="EO8:EO10"/>
    <mergeCell ref="EP8:EP10"/>
    <mergeCell ref="EQ8:EQ10"/>
    <mergeCell ref="ER8:ER10"/>
    <mergeCell ref="FH8:FH10"/>
    <mergeCell ref="C103:C105"/>
    <mergeCell ref="C106:C108"/>
    <mergeCell ref="C109:C111"/>
    <mergeCell ref="C112:C114"/>
    <mergeCell ref="C115:C117"/>
    <mergeCell ref="C14:C16"/>
    <mergeCell ref="C18:C20"/>
    <mergeCell ref="C21:C23"/>
    <mergeCell ref="C24:C26"/>
    <mergeCell ref="C27:C29"/>
    <mergeCell ref="C30:C32"/>
    <mergeCell ref="C34:C36"/>
    <mergeCell ref="C37:C39"/>
    <mergeCell ref="C40:C42"/>
    <mergeCell ref="C43:C45"/>
    <mergeCell ref="C46:C48"/>
    <mergeCell ref="C49:C51"/>
    <mergeCell ref="C52:C54"/>
    <mergeCell ref="C56:C58"/>
    <mergeCell ref="C59:C61"/>
    <mergeCell ref="C62:C64"/>
    <mergeCell ref="C65:C67"/>
    <mergeCell ref="L100:L101"/>
    <mergeCell ref="M100:M101"/>
    <mergeCell ref="N100:N101"/>
    <mergeCell ref="O100:O101"/>
    <mergeCell ref="Q100:Q101"/>
    <mergeCell ref="BZ100:BZ101"/>
    <mergeCell ref="CA100:CA101"/>
    <mergeCell ref="CB100:CB101"/>
    <mergeCell ref="CC100:CC101"/>
    <mergeCell ref="CD100:CD101"/>
    <mergeCell ref="CE100:CE101"/>
    <mergeCell ref="BK100:BK101"/>
    <mergeCell ref="BL100:BL101"/>
    <mergeCell ref="BM100:BM101"/>
    <mergeCell ref="BN100:BN101"/>
    <mergeCell ref="AX100:AX101"/>
    <mergeCell ref="AY100:AY101"/>
    <mergeCell ref="AZ100:AZ101"/>
    <mergeCell ref="Z100:Z101"/>
    <mergeCell ref="AW100:AW101"/>
    <mergeCell ref="AQ100:AQ101"/>
    <mergeCell ref="AR100:AR101"/>
    <mergeCell ref="AF100:AF101"/>
    <mergeCell ref="AG100:AG101"/>
    <mergeCell ref="AI100:AI101"/>
    <mergeCell ref="AJ100:AJ101"/>
    <mergeCell ref="AH100:AH101"/>
    <mergeCell ref="BC100:BC101"/>
    <mergeCell ref="AU100:AU101"/>
    <mergeCell ref="CZ100:CZ101"/>
    <mergeCell ref="DA100:DA101"/>
    <mergeCell ref="DB100:DB101"/>
    <mergeCell ref="DD100:DD101"/>
    <mergeCell ref="DE100:DE101"/>
    <mergeCell ref="CM100:CM101"/>
    <mergeCell ref="CO100:CO101"/>
    <mergeCell ref="CP100:CP101"/>
    <mergeCell ref="CQ100:CQ101"/>
    <mergeCell ref="CR100:CR101"/>
    <mergeCell ref="C68:C70"/>
    <mergeCell ref="C71:C73"/>
    <mergeCell ref="C75:C77"/>
    <mergeCell ref="C78:C80"/>
    <mergeCell ref="C81:C83"/>
    <mergeCell ref="C84:C86"/>
    <mergeCell ref="C87:C89"/>
    <mergeCell ref="C90:C92"/>
    <mergeCell ref="C94:C96"/>
    <mergeCell ref="C97:C99"/>
    <mergeCell ref="C100:C101"/>
    <mergeCell ref="CE90:CE92"/>
    <mergeCell ref="BQ90:BQ92"/>
    <mergeCell ref="BR90:BR92"/>
    <mergeCell ref="BT90:BT92"/>
    <mergeCell ref="BV90:BV92"/>
    <mergeCell ref="BW90:BW92"/>
    <mergeCell ref="BX90:BX92"/>
    <mergeCell ref="BK90:BK92"/>
    <mergeCell ref="BL90:BL92"/>
    <mergeCell ref="BM90:BM92"/>
    <mergeCell ref="BN90:BN92"/>
    <mergeCell ref="DX52:DX54"/>
    <mergeCell ref="DY52:DY54"/>
    <mergeCell ref="J100:J101"/>
    <mergeCell ref="DQ52:DQ54"/>
    <mergeCell ref="DR52:DR54"/>
    <mergeCell ref="DT52:DT54"/>
    <mergeCell ref="DU52:DU54"/>
    <mergeCell ref="DV52:DV54"/>
    <mergeCell ref="DW52:DW54"/>
    <mergeCell ref="DJ52:DJ54"/>
    <mergeCell ref="DL52:DL54"/>
    <mergeCell ref="DM52:DM54"/>
    <mergeCell ref="DN52:DN54"/>
    <mergeCell ref="DO52:DO54"/>
    <mergeCell ref="DP52:DP54"/>
    <mergeCell ref="DD52:DD54"/>
    <mergeCell ref="DE52:DE54"/>
    <mergeCell ref="DF52:DF54"/>
    <mergeCell ref="DG52:DG54"/>
    <mergeCell ref="DH52:DH54"/>
    <mergeCell ref="DI52:DI54"/>
    <mergeCell ref="CX52:CX54"/>
    <mergeCell ref="CY52:CY54"/>
    <mergeCell ref="CZ52:CZ54"/>
    <mergeCell ref="DA52:DA54"/>
    <mergeCell ref="DB52:DB54"/>
    <mergeCell ref="CQ52:CQ54"/>
    <mergeCell ref="CR52:CR54"/>
    <mergeCell ref="CS52:CS54"/>
    <mergeCell ref="K100:K101"/>
    <mergeCell ref="CT52:CT54"/>
    <mergeCell ref="CU52:CU54"/>
    <mergeCell ref="CV52:CV54"/>
    <mergeCell ref="CK52:CK54"/>
    <mergeCell ref="CL52:CL54"/>
    <mergeCell ref="CM52:CM54"/>
    <mergeCell ref="CO52:CO54"/>
    <mergeCell ref="CP52:CP54"/>
    <mergeCell ref="CD52:CD54"/>
    <mergeCell ref="CE52:CE54"/>
    <mergeCell ref="CF52:CF54"/>
    <mergeCell ref="CG52:CG54"/>
    <mergeCell ref="CH52:CH54"/>
    <mergeCell ref="CJ52:CJ54"/>
    <mergeCell ref="BW52:BW54"/>
    <mergeCell ref="BX52:BX54"/>
    <mergeCell ref="BZ52:BZ54"/>
    <mergeCell ref="CA52:CA54"/>
    <mergeCell ref="CB52:CB54"/>
    <mergeCell ref="CC52:CC54"/>
    <mergeCell ref="BY52:BY54"/>
    <mergeCell ref="BO52:BO54"/>
    <mergeCell ref="BP52:BP54"/>
    <mergeCell ref="BQ52:BQ54"/>
    <mergeCell ref="BR52:BR54"/>
    <mergeCell ref="BT52:BT54"/>
    <mergeCell ref="BV52:BV54"/>
    <mergeCell ref="BI52:BI54"/>
    <mergeCell ref="BJ52:BJ54"/>
    <mergeCell ref="BK52:BK54"/>
    <mergeCell ref="BL52:BL54"/>
    <mergeCell ref="BM52:BM54"/>
    <mergeCell ref="BN52:BN54"/>
    <mergeCell ref="BB52:BB54"/>
    <mergeCell ref="BD52:BD54"/>
    <mergeCell ref="BE52:BE54"/>
    <mergeCell ref="BF52:BF54"/>
    <mergeCell ref="BG52:BG54"/>
    <mergeCell ref="BH52:BH54"/>
    <mergeCell ref="BS52:BS54"/>
    <mergeCell ref="BU52:BU54"/>
    <mergeCell ref="AV52:AV54"/>
    <mergeCell ref="AW52:AW54"/>
    <mergeCell ref="AX52:AX54"/>
    <mergeCell ref="AY52:AY54"/>
    <mergeCell ref="AZ52:AZ54"/>
    <mergeCell ref="BA52:BA54"/>
    <mergeCell ref="AO52:AO54"/>
    <mergeCell ref="AP52:AP54"/>
    <mergeCell ref="AQ52:AQ54"/>
    <mergeCell ref="AR52:AR54"/>
    <mergeCell ref="AS52:AS54"/>
    <mergeCell ref="AT52:AT54"/>
    <mergeCell ref="AI52:AI54"/>
    <mergeCell ref="AJ52:AJ54"/>
    <mergeCell ref="AK52:AK54"/>
    <mergeCell ref="AL52:AL54"/>
    <mergeCell ref="AM52:AM54"/>
    <mergeCell ref="AN52:AN54"/>
    <mergeCell ref="AE52:AE54"/>
    <mergeCell ref="AF52:AF54"/>
    <mergeCell ref="AG52:AG54"/>
    <mergeCell ref="W52:W54"/>
    <mergeCell ref="X52:X54"/>
    <mergeCell ref="Y52:Y54"/>
    <mergeCell ref="AA52:AA54"/>
    <mergeCell ref="AB52:AB54"/>
    <mergeCell ref="N52:N54"/>
    <mergeCell ref="O52:O54"/>
    <mergeCell ref="Q52:Q54"/>
    <mergeCell ref="T52:T54"/>
    <mergeCell ref="U52:U54"/>
    <mergeCell ref="V52:V54"/>
    <mergeCell ref="J52:J54"/>
    <mergeCell ref="K52:K54"/>
    <mergeCell ref="L52:L54"/>
    <mergeCell ref="M52:M54"/>
    <mergeCell ref="AC52:AC54"/>
    <mergeCell ref="DT49:DT51"/>
    <mergeCell ref="DU49:DU51"/>
    <mergeCell ref="DV49:DV51"/>
    <mergeCell ref="DW49:DW51"/>
    <mergeCell ref="DX49:DX51"/>
    <mergeCell ref="DY49:DY51"/>
    <mergeCell ref="DM49:DM51"/>
    <mergeCell ref="DN49:DN51"/>
    <mergeCell ref="DO49:DO51"/>
    <mergeCell ref="DP49:DP51"/>
    <mergeCell ref="DQ49:DQ51"/>
    <mergeCell ref="DR49:DR51"/>
    <mergeCell ref="DF49:DF51"/>
    <mergeCell ref="DG49:DG51"/>
    <mergeCell ref="DH49:DH51"/>
    <mergeCell ref="DI49:DI51"/>
    <mergeCell ref="DJ49:DJ51"/>
    <mergeCell ref="DL49:DL51"/>
    <mergeCell ref="AD52:AD54"/>
    <mergeCell ref="AA49:AA51"/>
    <mergeCell ref="AB49:AB51"/>
    <mergeCell ref="AC49:AC51"/>
    <mergeCell ref="AD49:AD51"/>
    <mergeCell ref="AX49:AX51"/>
    <mergeCell ref="AY49:AY51"/>
    <mergeCell ref="AZ49:AZ51"/>
    <mergeCell ref="BA49:BA51"/>
    <mergeCell ref="BB49:BB51"/>
    <mergeCell ref="BD49:BD51"/>
    <mergeCell ref="CU49:CU51"/>
    <mergeCell ref="CV49:CV51"/>
    <mergeCell ref="CX49:CX51"/>
    <mergeCell ref="CY49:CY51"/>
    <mergeCell ref="CM49:CM51"/>
    <mergeCell ref="CO49:CO51"/>
    <mergeCell ref="CP49:CP51"/>
    <mergeCell ref="CQ49:CQ51"/>
    <mergeCell ref="CR49:CR51"/>
    <mergeCell ref="CF49:CF51"/>
    <mergeCell ref="CG49:CG51"/>
    <mergeCell ref="CH49:CH51"/>
    <mergeCell ref="CJ49:CJ51"/>
    <mergeCell ref="CK49:CK51"/>
    <mergeCell ref="CL49:CL51"/>
    <mergeCell ref="BZ49:BZ51"/>
    <mergeCell ref="CA49:CA51"/>
    <mergeCell ref="CB49:CB51"/>
    <mergeCell ref="CC49:CC51"/>
    <mergeCell ref="CD49:CD51"/>
    <mergeCell ref="CE49:CE51"/>
    <mergeCell ref="CZ49:CZ51"/>
    <mergeCell ref="DA49:DA51"/>
    <mergeCell ref="DB49:DB51"/>
    <mergeCell ref="DD49:DD51"/>
    <mergeCell ref="DE49:DE51"/>
    <mergeCell ref="CS49:CS51"/>
    <mergeCell ref="CT49:CT51"/>
    <mergeCell ref="AQ49:AQ51"/>
    <mergeCell ref="AR49:AR51"/>
    <mergeCell ref="AS49:AS51"/>
    <mergeCell ref="AT49:AT51"/>
    <mergeCell ref="BK49:BK51"/>
    <mergeCell ref="BL49:BL51"/>
    <mergeCell ref="BM49:BM51"/>
    <mergeCell ref="BN49:BN51"/>
    <mergeCell ref="BO49:BO51"/>
    <mergeCell ref="BP49:BP51"/>
    <mergeCell ref="BE49:BE51"/>
    <mergeCell ref="BF49:BF51"/>
    <mergeCell ref="BG49:BG51"/>
    <mergeCell ref="BH49:BH51"/>
    <mergeCell ref="BI49:BI51"/>
    <mergeCell ref="BJ49:BJ51"/>
    <mergeCell ref="BQ49:BQ51"/>
    <mergeCell ref="BR49:BR51"/>
    <mergeCell ref="BT49:BT51"/>
    <mergeCell ref="BY49:BY51"/>
    <mergeCell ref="BU49:BU51"/>
    <mergeCell ref="BV49:BV51"/>
    <mergeCell ref="BW49:BW51"/>
    <mergeCell ref="BX49:BX51"/>
    <mergeCell ref="BS49:BS51"/>
    <mergeCell ref="Q49:Q51"/>
    <mergeCell ref="T49:T51"/>
    <mergeCell ref="U49:U51"/>
    <mergeCell ref="V49:V51"/>
    <mergeCell ref="W49:W51"/>
    <mergeCell ref="AV49:AV51"/>
    <mergeCell ref="AW49:AW51"/>
    <mergeCell ref="AK49:AK51"/>
    <mergeCell ref="AL49:AL51"/>
    <mergeCell ref="AM49:AM51"/>
    <mergeCell ref="AN49:AN51"/>
    <mergeCell ref="AO49:AO51"/>
    <mergeCell ref="AP49:AP51"/>
    <mergeCell ref="AE49:AE51"/>
    <mergeCell ref="AF49:AF51"/>
    <mergeCell ref="AG49:AG51"/>
    <mergeCell ref="AI49:AI51"/>
    <mergeCell ref="AJ49:AJ51"/>
    <mergeCell ref="X49:X51"/>
    <mergeCell ref="Y49:Y51"/>
    <mergeCell ref="DX46:DX48"/>
    <mergeCell ref="DY46:DY48"/>
    <mergeCell ref="J49:J51"/>
    <mergeCell ref="K49:K51"/>
    <mergeCell ref="L49:L51"/>
    <mergeCell ref="M49:M51"/>
    <mergeCell ref="N49:N51"/>
    <mergeCell ref="O49:O51"/>
    <mergeCell ref="DQ46:DQ48"/>
    <mergeCell ref="DR46:DR48"/>
    <mergeCell ref="DT46:DT48"/>
    <mergeCell ref="DU46:DU48"/>
    <mergeCell ref="DV46:DV48"/>
    <mergeCell ref="DW46:DW48"/>
    <mergeCell ref="DJ46:DJ48"/>
    <mergeCell ref="DL46:DL48"/>
    <mergeCell ref="DM46:DM48"/>
    <mergeCell ref="DN46:DN48"/>
    <mergeCell ref="DO46:DO48"/>
    <mergeCell ref="DP46:DP48"/>
    <mergeCell ref="DD46:DD48"/>
    <mergeCell ref="DE46:DE48"/>
    <mergeCell ref="DF46:DF48"/>
    <mergeCell ref="DG46:DG48"/>
    <mergeCell ref="DH46:DH48"/>
    <mergeCell ref="DI46:DI48"/>
    <mergeCell ref="CX46:CX48"/>
    <mergeCell ref="CY46:CY48"/>
    <mergeCell ref="CZ46:CZ48"/>
    <mergeCell ref="DA46:DA48"/>
    <mergeCell ref="DB46:DB48"/>
    <mergeCell ref="CQ46:CQ48"/>
    <mergeCell ref="CR46:CR48"/>
    <mergeCell ref="CS46:CS48"/>
    <mergeCell ref="CT46:CT48"/>
    <mergeCell ref="CU46:CU48"/>
    <mergeCell ref="CV46:CV48"/>
    <mergeCell ref="CK46:CK48"/>
    <mergeCell ref="CL46:CL48"/>
    <mergeCell ref="CM46:CM48"/>
    <mergeCell ref="CO46:CO48"/>
    <mergeCell ref="CP46:CP48"/>
    <mergeCell ref="CD46:CD48"/>
    <mergeCell ref="CE46:CE48"/>
    <mergeCell ref="CF46:CF48"/>
    <mergeCell ref="CG46:CG48"/>
    <mergeCell ref="CH46:CH48"/>
    <mergeCell ref="CJ46:CJ48"/>
    <mergeCell ref="BZ46:BZ48"/>
    <mergeCell ref="CA46:CA48"/>
    <mergeCell ref="CB46:CB48"/>
    <mergeCell ref="CC46:CC48"/>
    <mergeCell ref="BO46:BO48"/>
    <mergeCell ref="BP46:BP48"/>
    <mergeCell ref="BQ46:BQ48"/>
    <mergeCell ref="BR46:BR48"/>
    <mergeCell ref="BT46:BT48"/>
    <mergeCell ref="BV46:BV48"/>
    <mergeCell ref="BI46:BI48"/>
    <mergeCell ref="BJ46:BJ48"/>
    <mergeCell ref="BK46:BK48"/>
    <mergeCell ref="BL46:BL48"/>
    <mergeCell ref="BM46:BM48"/>
    <mergeCell ref="BN46:BN48"/>
    <mergeCell ref="BS46:BS48"/>
    <mergeCell ref="BY46:BY48"/>
    <mergeCell ref="BU46:BU48"/>
    <mergeCell ref="BW46:BW48"/>
    <mergeCell ref="BX46:BX48"/>
    <mergeCell ref="BB46:BB48"/>
    <mergeCell ref="BD46:BD48"/>
    <mergeCell ref="BE46:BE48"/>
    <mergeCell ref="BF46:BF48"/>
    <mergeCell ref="BG46:BG48"/>
    <mergeCell ref="BH46:BH48"/>
    <mergeCell ref="AV46:AV48"/>
    <mergeCell ref="AW46:AW48"/>
    <mergeCell ref="AX46:AX48"/>
    <mergeCell ref="AY46:AY48"/>
    <mergeCell ref="AZ46:AZ48"/>
    <mergeCell ref="BA46:BA48"/>
    <mergeCell ref="AO46:AO48"/>
    <mergeCell ref="AP46:AP48"/>
    <mergeCell ref="AQ46:AQ48"/>
    <mergeCell ref="AR46:AR48"/>
    <mergeCell ref="AS46:AS48"/>
    <mergeCell ref="AT46:AT48"/>
    <mergeCell ref="AC46:AC48"/>
    <mergeCell ref="AD46:AD48"/>
    <mergeCell ref="AE46:AE48"/>
    <mergeCell ref="AF46:AF48"/>
    <mergeCell ref="AG46:AG48"/>
    <mergeCell ref="W46:W48"/>
    <mergeCell ref="X46:X48"/>
    <mergeCell ref="Y46:Y48"/>
    <mergeCell ref="AA46:AA48"/>
    <mergeCell ref="AB46:AB48"/>
    <mergeCell ref="N46:N48"/>
    <mergeCell ref="O46:O48"/>
    <mergeCell ref="Q46:Q48"/>
    <mergeCell ref="T46:T48"/>
    <mergeCell ref="U46:U48"/>
    <mergeCell ref="V46:V48"/>
    <mergeCell ref="J46:J48"/>
    <mergeCell ref="K46:K48"/>
    <mergeCell ref="L46:L48"/>
    <mergeCell ref="M46:M48"/>
    <mergeCell ref="CS43:CS45"/>
    <mergeCell ref="CT43:CT45"/>
    <mergeCell ref="CU43:CU45"/>
    <mergeCell ref="CV43:CV45"/>
    <mergeCell ref="CX43:CX45"/>
    <mergeCell ref="CY43:CY45"/>
    <mergeCell ref="CM43:CM45"/>
    <mergeCell ref="CO43:CO45"/>
    <mergeCell ref="CP43:CP45"/>
    <mergeCell ref="CQ43:CQ45"/>
    <mergeCell ref="CR43:CR45"/>
    <mergeCell ref="CF43:CF45"/>
    <mergeCell ref="CG43:CG45"/>
    <mergeCell ref="CH43:CH45"/>
    <mergeCell ref="CJ43:CJ45"/>
    <mergeCell ref="CK43:CK45"/>
    <mergeCell ref="CL43:CL45"/>
    <mergeCell ref="DY43:DY45"/>
    <mergeCell ref="DM43:DM45"/>
    <mergeCell ref="DN43:DN45"/>
    <mergeCell ref="DO43:DO45"/>
    <mergeCell ref="DP43:DP45"/>
    <mergeCell ref="DQ43:DQ45"/>
    <mergeCell ref="DR43:DR45"/>
    <mergeCell ref="DF43:DF45"/>
    <mergeCell ref="DG43:DG45"/>
    <mergeCell ref="DH43:DH45"/>
    <mergeCell ref="DI43:DI45"/>
    <mergeCell ref="DJ43:DJ45"/>
    <mergeCell ref="DL43:DL45"/>
    <mergeCell ref="CZ43:CZ45"/>
    <mergeCell ref="DA43:DA45"/>
    <mergeCell ref="DB43:DB45"/>
    <mergeCell ref="DD43:DD45"/>
    <mergeCell ref="DE43:DE45"/>
    <mergeCell ref="DT43:DT45"/>
    <mergeCell ref="DU43:DU45"/>
    <mergeCell ref="DV43:DV45"/>
    <mergeCell ref="DW43:DW45"/>
    <mergeCell ref="DX43:DX45"/>
    <mergeCell ref="BZ43:BZ45"/>
    <mergeCell ref="CA43:CA45"/>
    <mergeCell ref="CB43:CB45"/>
    <mergeCell ref="CC43:CC45"/>
    <mergeCell ref="CD43:CD45"/>
    <mergeCell ref="CE43:CE45"/>
    <mergeCell ref="BQ43:BQ45"/>
    <mergeCell ref="BR43:BR45"/>
    <mergeCell ref="BT43:BT45"/>
    <mergeCell ref="BV43:BV45"/>
    <mergeCell ref="BW43:BW45"/>
    <mergeCell ref="BX43:BX45"/>
    <mergeCell ref="BK43:BK45"/>
    <mergeCell ref="BL43:BL45"/>
    <mergeCell ref="BM43:BM45"/>
    <mergeCell ref="BN43:BN45"/>
    <mergeCell ref="BO43:BO45"/>
    <mergeCell ref="BP43:BP45"/>
    <mergeCell ref="BE43:BE45"/>
    <mergeCell ref="BF43:BF45"/>
    <mergeCell ref="BG43:BG45"/>
    <mergeCell ref="BH43:BH45"/>
    <mergeCell ref="BI43:BI45"/>
    <mergeCell ref="BJ43:BJ45"/>
    <mergeCell ref="AX43:AX45"/>
    <mergeCell ref="AY43:AY45"/>
    <mergeCell ref="AZ43:AZ45"/>
    <mergeCell ref="BA43:BA45"/>
    <mergeCell ref="BB43:BB45"/>
    <mergeCell ref="BD43:BD45"/>
    <mergeCell ref="AQ43:AQ45"/>
    <mergeCell ref="AR43:AR45"/>
    <mergeCell ref="AS43:AS45"/>
    <mergeCell ref="AT43:AT45"/>
    <mergeCell ref="AV43:AV45"/>
    <mergeCell ref="AW43:AW45"/>
    <mergeCell ref="AE43:AE45"/>
    <mergeCell ref="AF43:AF45"/>
    <mergeCell ref="AG43:AG45"/>
    <mergeCell ref="AI43:AI45"/>
    <mergeCell ref="AJ43:AJ45"/>
    <mergeCell ref="X43:X45"/>
    <mergeCell ref="Y43:Y45"/>
    <mergeCell ref="AA43:AA45"/>
    <mergeCell ref="AB43:AB45"/>
    <mergeCell ref="AC43:AC45"/>
    <mergeCell ref="AD43:AD45"/>
    <mergeCell ref="Q43:Q45"/>
    <mergeCell ref="T43:T45"/>
    <mergeCell ref="U43:U45"/>
    <mergeCell ref="V43:V45"/>
    <mergeCell ref="W43:W45"/>
    <mergeCell ref="DX30:DX32"/>
    <mergeCell ref="CR30:CR32"/>
    <mergeCell ref="CS30:CS32"/>
    <mergeCell ref="CT30:CT32"/>
    <mergeCell ref="CU30:CU32"/>
    <mergeCell ref="CV30:CV32"/>
    <mergeCell ref="CK30:CK32"/>
    <mergeCell ref="CL30:CL32"/>
    <mergeCell ref="CM30:CM32"/>
    <mergeCell ref="CO30:CO32"/>
    <mergeCell ref="CP30:CP32"/>
    <mergeCell ref="CD30:CD32"/>
    <mergeCell ref="CE30:CE32"/>
    <mergeCell ref="CF30:CF32"/>
    <mergeCell ref="CG30:CG32"/>
    <mergeCell ref="CH30:CH32"/>
    <mergeCell ref="DY30:DY32"/>
    <mergeCell ref="J43:J45"/>
    <mergeCell ref="K43:K45"/>
    <mergeCell ref="L43:L45"/>
    <mergeCell ref="M43:M45"/>
    <mergeCell ref="N43:N45"/>
    <mergeCell ref="O43:O45"/>
    <mergeCell ref="DQ30:DQ32"/>
    <mergeCell ref="DR30:DR32"/>
    <mergeCell ref="DT30:DT32"/>
    <mergeCell ref="DU30:DU32"/>
    <mergeCell ref="DV30:DV32"/>
    <mergeCell ref="DW30:DW32"/>
    <mergeCell ref="DJ30:DJ32"/>
    <mergeCell ref="DL30:DL32"/>
    <mergeCell ref="DM30:DM32"/>
    <mergeCell ref="DN30:DN32"/>
    <mergeCell ref="DO30:DO32"/>
    <mergeCell ref="DP30:DP32"/>
    <mergeCell ref="DD30:DD32"/>
    <mergeCell ref="DE30:DE32"/>
    <mergeCell ref="DF30:DF32"/>
    <mergeCell ref="DG30:DG32"/>
    <mergeCell ref="AK43:AK45"/>
    <mergeCell ref="DH30:DH32"/>
    <mergeCell ref="DI30:DI32"/>
    <mergeCell ref="CX30:CX32"/>
    <mergeCell ref="CY30:CY32"/>
    <mergeCell ref="CZ30:CZ32"/>
    <mergeCell ref="DA30:DA32"/>
    <mergeCell ref="DB30:DB32"/>
    <mergeCell ref="CQ30:CQ32"/>
    <mergeCell ref="CJ30:CJ32"/>
    <mergeCell ref="BW30:BW32"/>
    <mergeCell ref="BX30:BX32"/>
    <mergeCell ref="BZ30:BZ32"/>
    <mergeCell ref="CA30:CA32"/>
    <mergeCell ref="CB30:CB32"/>
    <mergeCell ref="CC30:CC32"/>
    <mergeCell ref="BO30:BO32"/>
    <mergeCell ref="BP30:BP32"/>
    <mergeCell ref="BQ30:BQ32"/>
    <mergeCell ref="BR30:BR32"/>
    <mergeCell ref="BT30:BT32"/>
    <mergeCell ref="BV30:BV32"/>
    <mergeCell ref="BI30:BI32"/>
    <mergeCell ref="BJ30:BJ32"/>
    <mergeCell ref="BK30:BK32"/>
    <mergeCell ref="BL30:BL32"/>
    <mergeCell ref="BM30:BM32"/>
    <mergeCell ref="BN30:BN32"/>
    <mergeCell ref="BS30:BS32"/>
    <mergeCell ref="BB30:BB32"/>
    <mergeCell ref="BD30:BD32"/>
    <mergeCell ref="BE30:BE32"/>
    <mergeCell ref="BF30:BF32"/>
    <mergeCell ref="BG30:BG32"/>
    <mergeCell ref="BH30:BH32"/>
    <mergeCell ref="AV30:AV32"/>
    <mergeCell ref="AW30:AW32"/>
    <mergeCell ref="AX30:AX32"/>
    <mergeCell ref="AY30:AY32"/>
    <mergeCell ref="AZ30:AZ32"/>
    <mergeCell ref="BA30:BA32"/>
    <mergeCell ref="AO30:AO32"/>
    <mergeCell ref="AP30:AP32"/>
    <mergeCell ref="AQ30:AQ32"/>
    <mergeCell ref="AR30:AR32"/>
    <mergeCell ref="AS30:AS32"/>
    <mergeCell ref="AT30:AT32"/>
    <mergeCell ref="AK30:AK32"/>
    <mergeCell ref="AL30:AL32"/>
    <mergeCell ref="AM30:AM32"/>
    <mergeCell ref="AN30:AN32"/>
    <mergeCell ref="AC30:AC32"/>
    <mergeCell ref="AD30:AD32"/>
    <mergeCell ref="AE30:AE32"/>
    <mergeCell ref="AF30:AF32"/>
    <mergeCell ref="AG30:AG32"/>
    <mergeCell ref="W30:W32"/>
    <mergeCell ref="X30:X32"/>
    <mergeCell ref="Y30:Y32"/>
    <mergeCell ref="AA30:AA32"/>
    <mergeCell ref="AB30:AB32"/>
    <mergeCell ref="N30:N32"/>
    <mergeCell ref="O30:O32"/>
    <mergeCell ref="Q30:Q32"/>
    <mergeCell ref="T30:T32"/>
    <mergeCell ref="U30:U32"/>
    <mergeCell ref="V30:V32"/>
    <mergeCell ref="AJ30:AJ32"/>
    <mergeCell ref="J30:J32"/>
    <mergeCell ref="K30:K32"/>
    <mergeCell ref="L30:L32"/>
    <mergeCell ref="M30:M32"/>
    <mergeCell ref="DT27:DT29"/>
    <mergeCell ref="DU27:DU29"/>
    <mergeCell ref="DV27:DV29"/>
    <mergeCell ref="DW27:DW29"/>
    <mergeCell ref="DX27:DX29"/>
    <mergeCell ref="DY27:DY29"/>
    <mergeCell ref="DM27:DM29"/>
    <mergeCell ref="DN27:DN29"/>
    <mergeCell ref="DO27:DO29"/>
    <mergeCell ref="DP27:DP29"/>
    <mergeCell ref="DQ27:DQ29"/>
    <mergeCell ref="DR27:DR29"/>
    <mergeCell ref="DF27:DF29"/>
    <mergeCell ref="DG27:DG29"/>
    <mergeCell ref="DH27:DH29"/>
    <mergeCell ref="DI27:DI29"/>
    <mergeCell ref="DJ27:DJ29"/>
    <mergeCell ref="DL27:DL29"/>
    <mergeCell ref="CZ27:CZ29"/>
    <mergeCell ref="DA27:DA29"/>
    <mergeCell ref="DB27:DB29"/>
    <mergeCell ref="DD27:DD29"/>
    <mergeCell ref="DE27:DE29"/>
    <mergeCell ref="CS27:CS29"/>
    <mergeCell ref="CT27:CT29"/>
    <mergeCell ref="CU27:CU29"/>
    <mergeCell ref="CV27:CV29"/>
    <mergeCell ref="CX27:CX29"/>
    <mergeCell ref="CY27:CY29"/>
    <mergeCell ref="CM27:CM29"/>
    <mergeCell ref="CO27:CO29"/>
    <mergeCell ref="CP27:CP29"/>
    <mergeCell ref="CQ27:CQ29"/>
    <mergeCell ref="CR27:CR29"/>
    <mergeCell ref="CF27:CF29"/>
    <mergeCell ref="CG27:CG29"/>
    <mergeCell ref="CH27:CH29"/>
    <mergeCell ref="CJ27:CJ29"/>
    <mergeCell ref="CK27:CK29"/>
    <mergeCell ref="CL27:CL29"/>
    <mergeCell ref="BZ27:BZ29"/>
    <mergeCell ref="CA27:CA29"/>
    <mergeCell ref="CB27:CB29"/>
    <mergeCell ref="CC27:CC29"/>
    <mergeCell ref="CD27:CD29"/>
    <mergeCell ref="CE27:CE29"/>
    <mergeCell ref="BQ27:BQ29"/>
    <mergeCell ref="BR27:BR29"/>
    <mergeCell ref="BT27:BT29"/>
    <mergeCell ref="BV27:BV29"/>
    <mergeCell ref="BW27:BW29"/>
    <mergeCell ref="BX27:BX29"/>
    <mergeCell ref="BK27:BK29"/>
    <mergeCell ref="BL27:BL29"/>
    <mergeCell ref="BM27:BM29"/>
    <mergeCell ref="BN27:BN29"/>
    <mergeCell ref="BO27:BO29"/>
    <mergeCell ref="BP27:BP29"/>
    <mergeCell ref="BE27:BE29"/>
    <mergeCell ref="BF27:BF29"/>
    <mergeCell ref="BG27:BG29"/>
    <mergeCell ref="BH27:BH29"/>
    <mergeCell ref="BI27:BI29"/>
    <mergeCell ref="BJ27:BJ29"/>
    <mergeCell ref="BS27:BS29"/>
    <mergeCell ref="AX27:AX29"/>
    <mergeCell ref="AY27:AY29"/>
    <mergeCell ref="AZ27:AZ29"/>
    <mergeCell ref="BA27:BA29"/>
    <mergeCell ref="BB27:BB29"/>
    <mergeCell ref="BD27:BD29"/>
    <mergeCell ref="AR27:AR29"/>
    <mergeCell ref="AS27:AS29"/>
    <mergeCell ref="AT27:AT29"/>
    <mergeCell ref="AV27:AV29"/>
    <mergeCell ref="AW27:AW29"/>
    <mergeCell ref="AK27:AK29"/>
    <mergeCell ref="AL27:AL29"/>
    <mergeCell ref="AM27:AM29"/>
    <mergeCell ref="AN27:AN29"/>
    <mergeCell ref="AO27:AO29"/>
    <mergeCell ref="AP27:AP29"/>
    <mergeCell ref="AE27:AE29"/>
    <mergeCell ref="AF27:AF29"/>
    <mergeCell ref="AG27:AG29"/>
    <mergeCell ref="AI27:AI29"/>
    <mergeCell ref="AJ27:AJ29"/>
    <mergeCell ref="X27:X29"/>
    <mergeCell ref="Y27:Y29"/>
    <mergeCell ref="AA27:AA29"/>
    <mergeCell ref="AB27:AB29"/>
    <mergeCell ref="AC27:AC29"/>
    <mergeCell ref="AD27:AD29"/>
    <mergeCell ref="Q27:Q29"/>
    <mergeCell ref="T27:T29"/>
    <mergeCell ref="U27:U29"/>
    <mergeCell ref="V27:V29"/>
    <mergeCell ref="W27:W29"/>
    <mergeCell ref="DX115:DX117"/>
    <mergeCell ref="CR115:CR117"/>
    <mergeCell ref="CS115:CS117"/>
    <mergeCell ref="CT115:CT117"/>
    <mergeCell ref="CU115:CU117"/>
    <mergeCell ref="CV115:CV117"/>
    <mergeCell ref="CK115:CK117"/>
    <mergeCell ref="CL115:CL117"/>
    <mergeCell ref="CM115:CM117"/>
    <mergeCell ref="CO115:CO117"/>
    <mergeCell ref="CP115:CP117"/>
    <mergeCell ref="CD115:CD117"/>
    <mergeCell ref="CE115:CE117"/>
    <mergeCell ref="CF115:CF117"/>
    <mergeCell ref="CG115:CG117"/>
    <mergeCell ref="CH115:CH117"/>
    <mergeCell ref="DY115:DY117"/>
    <mergeCell ref="J27:J29"/>
    <mergeCell ref="K27:K29"/>
    <mergeCell ref="L27:L29"/>
    <mergeCell ref="M27:M29"/>
    <mergeCell ref="N27:N29"/>
    <mergeCell ref="O27:O29"/>
    <mergeCell ref="DQ115:DQ117"/>
    <mergeCell ref="DR115:DR117"/>
    <mergeCell ref="DT115:DT117"/>
    <mergeCell ref="DU115:DU117"/>
    <mergeCell ref="DV115:DV117"/>
    <mergeCell ref="DW115:DW117"/>
    <mergeCell ref="DJ115:DJ117"/>
    <mergeCell ref="DL115:DL117"/>
    <mergeCell ref="DM115:DM117"/>
    <mergeCell ref="DN115:DN117"/>
    <mergeCell ref="AQ27:AQ29"/>
    <mergeCell ref="DO115:DO117"/>
    <mergeCell ref="DP115:DP117"/>
    <mergeCell ref="DD115:DD117"/>
    <mergeCell ref="DE115:DE117"/>
    <mergeCell ref="DF115:DF117"/>
    <mergeCell ref="DG115:DG117"/>
    <mergeCell ref="DH115:DH117"/>
    <mergeCell ref="DI115:DI117"/>
    <mergeCell ref="CX115:CX117"/>
    <mergeCell ref="CY115:CY117"/>
    <mergeCell ref="CZ115:CZ117"/>
    <mergeCell ref="DA115:DA117"/>
    <mergeCell ref="DB115:DB117"/>
    <mergeCell ref="CQ115:CQ117"/>
    <mergeCell ref="CJ115:CJ117"/>
    <mergeCell ref="BW115:BW117"/>
    <mergeCell ref="BX115:BX117"/>
    <mergeCell ref="BZ115:BZ117"/>
    <mergeCell ref="CA115:CA117"/>
    <mergeCell ref="CB115:CB117"/>
    <mergeCell ref="CC115:CC117"/>
    <mergeCell ref="BO115:BO117"/>
    <mergeCell ref="BP115:BP117"/>
    <mergeCell ref="BQ115:BQ117"/>
    <mergeCell ref="BR115:BR117"/>
    <mergeCell ref="BT115:BT117"/>
    <mergeCell ref="BV115:BV117"/>
    <mergeCell ref="BI115:BI117"/>
    <mergeCell ref="BJ115:BJ117"/>
    <mergeCell ref="BK115:BK117"/>
    <mergeCell ref="BL115:BL117"/>
    <mergeCell ref="BM115:BM117"/>
    <mergeCell ref="BN115:BN117"/>
    <mergeCell ref="BB115:BB117"/>
    <mergeCell ref="BD115:BD117"/>
    <mergeCell ref="BE115:BE117"/>
    <mergeCell ref="BF115:BF117"/>
    <mergeCell ref="BG115:BG117"/>
    <mergeCell ref="BH115:BH117"/>
    <mergeCell ref="BC115:BC117"/>
    <mergeCell ref="BS115:BS117"/>
    <mergeCell ref="BU115:BU117"/>
    <mergeCell ref="AV115:AV117"/>
    <mergeCell ref="AW115:AW117"/>
    <mergeCell ref="AX115:AX117"/>
    <mergeCell ref="AY115:AY117"/>
    <mergeCell ref="AZ115:AZ117"/>
    <mergeCell ref="BA115:BA117"/>
    <mergeCell ref="AO115:AO117"/>
    <mergeCell ref="AP115:AP117"/>
    <mergeCell ref="AQ115:AQ117"/>
    <mergeCell ref="AR115:AR117"/>
    <mergeCell ref="AS115:AS117"/>
    <mergeCell ref="AT115:AT117"/>
    <mergeCell ref="AU115:AU117"/>
    <mergeCell ref="AI115:AI117"/>
    <mergeCell ref="AJ115:AJ117"/>
    <mergeCell ref="AK115:AK117"/>
    <mergeCell ref="AL115:AL117"/>
    <mergeCell ref="AM115:AM117"/>
    <mergeCell ref="AN115:AN117"/>
    <mergeCell ref="AD115:AD117"/>
    <mergeCell ref="AE115:AE117"/>
    <mergeCell ref="AF115:AF117"/>
    <mergeCell ref="AG115:AG117"/>
    <mergeCell ref="W115:W117"/>
    <mergeCell ref="X115:X117"/>
    <mergeCell ref="Y115:Y117"/>
    <mergeCell ref="AA115:AA117"/>
    <mergeCell ref="AB115:AB117"/>
    <mergeCell ref="N115:N117"/>
    <mergeCell ref="O115:O117"/>
    <mergeCell ref="Q115:Q117"/>
    <mergeCell ref="T115:T117"/>
    <mergeCell ref="U115:U117"/>
    <mergeCell ref="V115:V117"/>
    <mergeCell ref="Z115:Z117"/>
    <mergeCell ref="R115:R117"/>
    <mergeCell ref="S115:S117"/>
    <mergeCell ref="AH115:AH117"/>
    <mergeCell ref="J115:J117"/>
    <mergeCell ref="K115:K117"/>
    <mergeCell ref="L115:L117"/>
    <mergeCell ref="M115:M117"/>
    <mergeCell ref="DT112:DT114"/>
    <mergeCell ref="DU112:DU114"/>
    <mergeCell ref="DV112:DV114"/>
    <mergeCell ref="DW112:DW114"/>
    <mergeCell ref="DX112:DX114"/>
    <mergeCell ref="DY112:DY114"/>
    <mergeCell ref="DM112:DM114"/>
    <mergeCell ref="DN112:DN114"/>
    <mergeCell ref="DO112:DO114"/>
    <mergeCell ref="DP112:DP114"/>
    <mergeCell ref="DQ112:DQ114"/>
    <mergeCell ref="DR112:DR114"/>
    <mergeCell ref="DF112:DF114"/>
    <mergeCell ref="DG112:DG114"/>
    <mergeCell ref="DH112:DH114"/>
    <mergeCell ref="DI112:DI114"/>
    <mergeCell ref="DJ112:DJ114"/>
    <mergeCell ref="DL112:DL114"/>
    <mergeCell ref="CZ112:CZ114"/>
    <mergeCell ref="DA112:DA114"/>
    <mergeCell ref="DB112:DB114"/>
    <mergeCell ref="DD112:DD114"/>
    <mergeCell ref="DE112:DE114"/>
    <mergeCell ref="CS112:CS114"/>
    <mergeCell ref="CT112:CT114"/>
    <mergeCell ref="AC115:AC117"/>
    <mergeCell ref="CU112:CU114"/>
    <mergeCell ref="CV112:CV114"/>
    <mergeCell ref="CX112:CX114"/>
    <mergeCell ref="CY112:CY114"/>
    <mergeCell ref="CM112:CM114"/>
    <mergeCell ref="CO112:CO114"/>
    <mergeCell ref="CP112:CP114"/>
    <mergeCell ref="CQ112:CQ114"/>
    <mergeCell ref="CR112:CR114"/>
    <mergeCell ref="CF112:CF114"/>
    <mergeCell ref="CG112:CG114"/>
    <mergeCell ref="CH112:CH114"/>
    <mergeCell ref="CJ112:CJ114"/>
    <mergeCell ref="CK112:CK114"/>
    <mergeCell ref="CL112:CL114"/>
    <mergeCell ref="BZ112:BZ114"/>
    <mergeCell ref="CA112:CA114"/>
    <mergeCell ref="CB112:CB114"/>
    <mergeCell ref="CC112:CC114"/>
    <mergeCell ref="CD112:CD114"/>
    <mergeCell ref="CE112:CE114"/>
    <mergeCell ref="BQ112:BQ114"/>
    <mergeCell ref="BR112:BR114"/>
    <mergeCell ref="BT112:BT114"/>
    <mergeCell ref="BV112:BV114"/>
    <mergeCell ref="BW112:BW114"/>
    <mergeCell ref="BX112:BX114"/>
    <mergeCell ref="BK112:BK114"/>
    <mergeCell ref="BL112:BL114"/>
    <mergeCell ref="BM112:BM114"/>
    <mergeCell ref="BN112:BN114"/>
    <mergeCell ref="BO112:BO114"/>
    <mergeCell ref="BP112:BP114"/>
    <mergeCell ref="BE112:BE114"/>
    <mergeCell ref="BF112:BF114"/>
    <mergeCell ref="BG112:BG114"/>
    <mergeCell ref="BH112:BH114"/>
    <mergeCell ref="BI112:BI114"/>
    <mergeCell ref="BJ112:BJ114"/>
    <mergeCell ref="BS112:BS114"/>
    <mergeCell ref="BU112:BU114"/>
    <mergeCell ref="AX112:AX114"/>
    <mergeCell ref="AY112:AY114"/>
    <mergeCell ref="AZ112:AZ114"/>
    <mergeCell ref="BA112:BA114"/>
    <mergeCell ref="BB112:BB114"/>
    <mergeCell ref="BD112:BD114"/>
    <mergeCell ref="AQ112:AQ114"/>
    <mergeCell ref="AR112:AR114"/>
    <mergeCell ref="AS112:AS114"/>
    <mergeCell ref="AT112:AT114"/>
    <mergeCell ref="AV112:AV114"/>
    <mergeCell ref="AW112:AW114"/>
    <mergeCell ref="AK112:AK114"/>
    <mergeCell ref="AL112:AL114"/>
    <mergeCell ref="AM112:AM114"/>
    <mergeCell ref="AN112:AN114"/>
    <mergeCell ref="AO112:AO114"/>
    <mergeCell ref="AP112:AP114"/>
    <mergeCell ref="BC112:BC114"/>
    <mergeCell ref="AU112:AU114"/>
    <mergeCell ref="AE112:AE114"/>
    <mergeCell ref="AF112:AF114"/>
    <mergeCell ref="AG112:AG114"/>
    <mergeCell ref="AI112:AI114"/>
    <mergeCell ref="AJ112:AJ114"/>
    <mergeCell ref="X112:X114"/>
    <mergeCell ref="Y112:Y114"/>
    <mergeCell ref="AA112:AA114"/>
    <mergeCell ref="AB112:AB114"/>
    <mergeCell ref="AC112:AC114"/>
    <mergeCell ref="AD112:AD114"/>
    <mergeCell ref="Q112:Q114"/>
    <mergeCell ref="T112:T114"/>
    <mergeCell ref="U112:U114"/>
    <mergeCell ref="V112:V114"/>
    <mergeCell ref="W112:W114"/>
    <mergeCell ref="Z112:Z114"/>
    <mergeCell ref="AH112:AH114"/>
    <mergeCell ref="R112:R114"/>
    <mergeCell ref="S112:S114"/>
    <mergeCell ref="DX109:DX111"/>
    <mergeCell ref="DY109:DY111"/>
    <mergeCell ref="J112:J114"/>
    <mergeCell ref="K112:K114"/>
    <mergeCell ref="L112:L114"/>
    <mergeCell ref="M112:M114"/>
    <mergeCell ref="N112:N114"/>
    <mergeCell ref="O112:O114"/>
    <mergeCell ref="DQ109:DQ111"/>
    <mergeCell ref="DR109:DR111"/>
    <mergeCell ref="DT109:DT111"/>
    <mergeCell ref="DU109:DU111"/>
    <mergeCell ref="DV109:DV111"/>
    <mergeCell ref="DW109:DW111"/>
    <mergeCell ref="DJ109:DJ111"/>
    <mergeCell ref="DL109:DL111"/>
    <mergeCell ref="DM109:DM111"/>
    <mergeCell ref="DN109:DN111"/>
    <mergeCell ref="DO109:DO111"/>
    <mergeCell ref="DP109:DP111"/>
    <mergeCell ref="DD109:DD111"/>
    <mergeCell ref="DE109:DE111"/>
    <mergeCell ref="DF109:DF111"/>
    <mergeCell ref="DG109:DG111"/>
    <mergeCell ref="DH109:DH111"/>
    <mergeCell ref="DI109:DI111"/>
    <mergeCell ref="CX109:CX111"/>
    <mergeCell ref="CY109:CY111"/>
    <mergeCell ref="CZ109:CZ111"/>
    <mergeCell ref="DA109:DA111"/>
    <mergeCell ref="DB109:DB111"/>
    <mergeCell ref="CQ109:CQ111"/>
    <mergeCell ref="CR109:CR111"/>
    <mergeCell ref="CS109:CS111"/>
    <mergeCell ref="CT109:CT111"/>
    <mergeCell ref="CU109:CU111"/>
    <mergeCell ref="CV109:CV111"/>
    <mergeCell ref="CK109:CK111"/>
    <mergeCell ref="CL109:CL111"/>
    <mergeCell ref="CM109:CM111"/>
    <mergeCell ref="CO109:CO111"/>
    <mergeCell ref="CP109:CP111"/>
    <mergeCell ref="CD109:CD111"/>
    <mergeCell ref="CE109:CE111"/>
    <mergeCell ref="CF109:CF111"/>
    <mergeCell ref="CG109:CG111"/>
    <mergeCell ref="CH109:CH111"/>
    <mergeCell ref="CJ109:CJ111"/>
    <mergeCell ref="BW109:BW111"/>
    <mergeCell ref="BX109:BX111"/>
    <mergeCell ref="BZ109:BZ111"/>
    <mergeCell ref="CA109:CA111"/>
    <mergeCell ref="CB109:CB111"/>
    <mergeCell ref="CC109:CC111"/>
    <mergeCell ref="BO109:BO111"/>
    <mergeCell ref="BP109:BP111"/>
    <mergeCell ref="BQ109:BQ111"/>
    <mergeCell ref="BR109:BR111"/>
    <mergeCell ref="BT109:BT111"/>
    <mergeCell ref="BV109:BV111"/>
    <mergeCell ref="BI109:BI111"/>
    <mergeCell ref="BJ109:BJ111"/>
    <mergeCell ref="BK109:BK111"/>
    <mergeCell ref="BL109:BL111"/>
    <mergeCell ref="BM109:BM111"/>
    <mergeCell ref="BN109:BN111"/>
    <mergeCell ref="BS109:BS111"/>
    <mergeCell ref="BU109:BU111"/>
    <mergeCell ref="BB109:BB111"/>
    <mergeCell ref="BD109:BD111"/>
    <mergeCell ref="BE109:BE111"/>
    <mergeCell ref="BF109:BF111"/>
    <mergeCell ref="BG109:BG111"/>
    <mergeCell ref="BH109:BH111"/>
    <mergeCell ref="AV109:AV111"/>
    <mergeCell ref="AW109:AW111"/>
    <mergeCell ref="AX109:AX111"/>
    <mergeCell ref="AY109:AY111"/>
    <mergeCell ref="AZ109:AZ111"/>
    <mergeCell ref="BA109:BA111"/>
    <mergeCell ref="AO109:AO111"/>
    <mergeCell ref="AP109:AP111"/>
    <mergeCell ref="AQ109:AQ111"/>
    <mergeCell ref="AR109:AR111"/>
    <mergeCell ref="AS109:AS111"/>
    <mergeCell ref="AT109:AT111"/>
    <mergeCell ref="BC109:BC111"/>
    <mergeCell ref="AJ109:AJ111"/>
    <mergeCell ref="AK109:AK111"/>
    <mergeCell ref="AL109:AL111"/>
    <mergeCell ref="AM109:AM111"/>
    <mergeCell ref="AN109:AN111"/>
    <mergeCell ref="AU109:AU111"/>
    <mergeCell ref="AC109:AC111"/>
    <mergeCell ref="AD109:AD111"/>
    <mergeCell ref="AE109:AE111"/>
    <mergeCell ref="AF109:AF111"/>
    <mergeCell ref="AG109:AG111"/>
    <mergeCell ref="W109:W111"/>
    <mergeCell ref="X109:X111"/>
    <mergeCell ref="Y109:Y111"/>
    <mergeCell ref="AA109:AA111"/>
    <mergeCell ref="AB109:AB111"/>
    <mergeCell ref="Z109:Z111"/>
    <mergeCell ref="AH109:AH111"/>
    <mergeCell ref="N109:N111"/>
    <mergeCell ref="O109:O111"/>
    <mergeCell ref="Q109:Q111"/>
    <mergeCell ref="T109:T111"/>
    <mergeCell ref="U109:U111"/>
    <mergeCell ref="V109:V111"/>
    <mergeCell ref="S109:S111"/>
    <mergeCell ref="J109:J111"/>
    <mergeCell ref="K109:K111"/>
    <mergeCell ref="L109:L111"/>
    <mergeCell ref="M109:M111"/>
    <mergeCell ref="DT90:DT92"/>
    <mergeCell ref="DU90:DU92"/>
    <mergeCell ref="DV90:DV92"/>
    <mergeCell ref="DW90:DW92"/>
    <mergeCell ref="DX90:DX92"/>
    <mergeCell ref="CS90:CS92"/>
    <mergeCell ref="CT90:CT92"/>
    <mergeCell ref="CU90:CU92"/>
    <mergeCell ref="CV90:CV92"/>
    <mergeCell ref="CX90:CX92"/>
    <mergeCell ref="CY90:CY92"/>
    <mergeCell ref="CM90:CM92"/>
    <mergeCell ref="CO90:CO92"/>
    <mergeCell ref="CP90:CP92"/>
    <mergeCell ref="CQ90:CQ92"/>
    <mergeCell ref="CR90:CR92"/>
    <mergeCell ref="CF90:CF92"/>
    <mergeCell ref="CG90:CG92"/>
    <mergeCell ref="CH90:CH92"/>
    <mergeCell ref="AI109:AI111"/>
    <mergeCell ref="CJ90:CJ92"/>
    <mergeCell ref="CK90:CK92"/>
    <mergeCell ref="CL90:CL92"/>
    <mergeCell ref="BZ90:BZ92"/>
    <mergeCell ref="CA90:CA92"/>
    <mergeCell ref="CB90:CB92"/>
    <mergeCell ref="CC90:CC92"/>
    <mergeCell ref="CD90:CD92"/>
    <mergeCell ref="DY90:DY92"/>
    <mergeCell ref="DM90:DM92"/>
    <mergeCell ref="DN90:DN92"/>
    <mergeCell ref="DO90:DO92"/>
    <mergeCell ref="DP90:DP92"/>
    <mergeCell ref="DQ90:DQ92"/>
    <mergeCell ref="DR90:DR92"/>
    <mergeCell ref="DF90:DF92"/>
    <mergeCell ref="DG90:DG92"/>
    <mergeCell ref="DH90:DH92"/>
    <mergeCell ref="DI90:DI92"/>
    <mergeCell ref="DJ90:DJ92"/>
    <mergeCell ref="DL90:DL92"/>
    <mergeCell ref="CZ90:CZ92"/>
    <mergeCell ref="DA90:DA92"/>
    <mergeCell ref="DB90:DB92"/>
    <mergeCell ref="DD90:DD92"/>
    <mergeCell ref="DE90:DE92"/>
    <mergeCell ref="DC90:DC92"/>
    <mergeCell ref="BO90:BO92"/>
    <mergeCell ref="BP90:BP92"/>
    <mergeCell ref="BS90:BS92"/>
    <mergeCell ref="BU90:BU92"/>
    <mergeCell ref="CI90:CI92"/>
    <mergeCell ref="BE90:BE92"/>
    <mergeCell ref="BF90:BF92"/>
    <mergeCell ref="BG90:BG92"/>
    <mergeCell ref="BH90:BH92"/>
    <mergeCell ref="BI90:BI92"/>
    <mergeCell ref="BJ90:BJ92"/>
    <mergeCell ref="AX90:AX92"/>
    <mergeCell ref="AY90:AY92"/>
    <mergeCell ref="AZ90:AZ92"/>
    <mergeCell ref="BA90:BA92"/>
    <mergeCell ref="BB90:BB92"/>
    <mergeCell ref="BD90:BD92"/>
    <mergeCell ref="AQ90:AQ92"/>
    <mergeCell ref="AR90:AR92"/>
    <mergeCell ref="AS90:AS92"/>
    <mergeCell ref="AT90:AT92"/>
    <mergeCell ref="AV90:AV92"/>
    <mergeCell ref="AW90:AW92"/>
    <mergeCell ref="AL90:AL92"/>
    <mergeCell ref="AM90:AM92"/>
    <mergeCell ref="AN90:AN92"/>
    <mergeCell ref="AO90:AO92"/>
    <mergeCell ref="AP90:AP92"/>
    <mergeCell ref="BC90:BC92"/>
    <mergeCell ref="AU90:AU92"/>
    <mergeCell ref="AE90:AE92"/>
    <mergeCell ref="AF90:AF92"/>
    <mergeCell ref="AG90:AG92"/>
    <mergeCell ref="AI90:AI92"/>
    <mergeCell ref="AJ90:AJ92"/>
    <mergeCell ref="AH90:AH92"/>
    <mergeCell ref="X90:X92"/>
    <mergeCell ref="Y90:Y92"/>
    <mergeCell ref="AA90:AA92"/>
    <mergeCell ref="AB90:AB92"/>
    <mergeCell ref="AC90:AC92"/>
    <mergeCell ref="AD90:AD92"/>
    <mergeCell ref="Q90:Q92"/>
    <mergeCell ref="T90:T92"/>
    <mergeCell ref="U90:U92"/>
    <mergeCell ref="V90:V92"/>
    <mergeCell ref="W90:W92"/>
    <mergeCell ref="DX87:DX89"/>
    <mergeCell ref="CR87:CR89"/>
    <mergeCell ref="CS87:CS89"/>
    <mergeCell ref="CT87:CT89"/>
    <mergeCell ref="CU87:CU89"/>
    <mergeCell ref="CV87:CV89"/>
    <mergeCell ref="CK87:CK89"/>
    <mergeCell ref="CL87:CL89"/>
    <mergeCell ref="CM87:CM89"/>
    <mergeCell ref="CO87:CO89"/>
    <mergeCell ref="CP87:CP89"/>
    <mergeCell ref="CD87:CD89"/>
    <mergeCell ref="CE87:CE89"/>
    <mergeCell ref="CF87:CF89"/>
    <mergeCell ref="CG87:CG89"/>
    <mergeCell ref="CH87:CH89"/>
    <mergeCell ref="CJ87:CJ89"/>
    <mergeCell ref="BW87:BW89"/>
    <mergeCell ref="BX87:BX89"/>
    <mergeCell ref="BZ87:BZ89"/>
    <mergeCell ref="CA87:CA89"/>
    <mergeCell ref="DY87:DY89"/>
    <mergeCell ref="J90:J92"/>
    <mergeCell ref="K90:K92"/>
    <mergeCell ref="L90:L92"/>
    <mergeCell ref="M90:M92"/>
    <mergeCell ref="N90:N92"/>
    <mergeCell ref="O90:O92"/>
    <mergeCell ref="DQ87:DQ89"/>
    <mergeCell ref="DR87:DR89"/>
    <mergeCell ref="DT87:DT89"/>
    <mergeCell ref="DU87:DU89"/>
    <mergeCell ref="DV87:DV89"/>
    <mergeCell ref="DW87:DW89"/>
    <mergeCell ref="DJ87:DJ89"/>
    <mergeCell ref="DL87:DL89"/>
    <mergeCell ref="DM87:DM89"/>
    <mergeCell ref="DN87:DN89"/>
    <mergeCell ref="DO87:DO89"/>
    <mergeCell ref="DP87:DP89"/>
    <mergeCell ref="DD87:DD89"/>
    <mergeCell ref="DE87:DE89"/>
    <mergeCell ref="DF87:DF89"/>
    <mergeCell ref="DG87:DG89"/>
    <mergeCell ref="AK90:AK92"/>
    <mergeCell ref="DH87:DH89"/>
    <mergeCell ref="DI87:DI89"/>
    <mergeCell ref="CX87:CX89"/>
    <mergeCell ref="CY87:CY89"/>
    <mergeCell ref="CZ87:CZ89"/>
    <mergeCell ref="DA87:DA89"/>
    <mergeCell ref="DB87:DB89"/>
    <mergeCell ref="CQ87:CQ89"/>
    <mergeCell ref="CB87:CB89"/>
    <mergeCell ref="CC87:CC89"/>
    <mergeCell ref="BO87:BO89"/>
    <mergeCell ref="BP87:BP89"/>
    <mergeCell ref="BQ87:BQ89"/>
    <mergeCell ref="BR87:BR89"/>
    <mergeCell ref="BT87:BT89"/>
    <mergeCell ref="BV87:BV89"/>
    <mergeCell ref="BS87:BS89"/>
    <mergeCell ref="BU87:BU89"/>
    <mergeCell ref="CI87:CI89"/>
    <mergeCell ref="BI87:BI89"/>
    <mergeCell ref="BJ87:BJ89"/>
    <mergeCell ref="BK87:BK89"/>
    <mergeCell ref="BL87:BL89"/>
    <mergeCell ref="BM87:BM89"/>
    <mergeCell ref="BN87:BN89"/>
    <mergeCell ref="BB87:BB89"/>
    <mergeCell ref="BD87:BD89"/>
    <mergeCell ref="BE87:BE89"/>
    <mergeCell ref="BF87:BF89"/>
    <mergeCell ref="BG87:BG89"/>
    <mergeCell ref="BH87:BH89"/>
    <mergeCell ref="AV87:AV89"/>
    <mergeCell ref="AW87:AW89"/>
    <mergeCell ref="AX87:AX89"/>
    <mergeCell ref="AY87:AY89"/>
    <mergeCell ref="AZ87:AZ89"/>
    <mergeCell ref="BA87:BA89"/>
    <mergeCell ref="AO87:AO89"/>
    <mergeCell ref="AP87:AP89"/>
    <mergeCell ref="AQ87:AQ89"/>
    <mergeCell ref="AR87:AR89"/>
    <mergeCell ref="AS87:AS89"/>
    <mergeCell ref="AT87:AT89"/>
    <mergeCell ref="BC87:BC89"/>
    <mergeCell ref="AI87:AI89"/>
    <mergeCell ref="AJ87:AJ89"/>
    <mergeCell ref="AK87:AK89"/>
    <mergeCell ref="AL87:AL89"/>
    <mergeCell ref="AM87:AM89"/>
    <mergeCell ref="AN87:AN89"/>
    <mergeCell ref="AC87:AC89"/>
    <mergeCell ref="AD87:AD89"/>
    <mergeCell ref="AE87:AE89"/>
    <mergeCell ref="AF87:AF89"/>
    <mergeCell ref="AG87:AG89"/>
    <mergeCell ref="W87:W89"/>
    <mergeCell ref="X87:X89"/>
    <mergeCell ref="Y87:Y89"/>
    <mergeCell ref="AA87:AA89"/>
    <mergeCell ref="AB87:AB89"/>
    <mergeCell ref="N87:N89"/>
    <mergeCell ref="O87:O89"/>
    <mergeCell ref="Q87:Q89"/>
    <mergeCell ref="T87:T89"/>
    <mergeCell ref="U87:U89"/>
    <mergeCell ref="V87:V89"/>
    <mergeCell ref="J87:J89"/>
    <mergeCell ref="K87:K89"/>
    <mergeCell ref="L87:L89"/>
    <mergeCell ref="M87:M89"/>
    <mergeCell ref="R87:R89"/>
    <mergeCell ref="DT84:DT86"/>
    <mergeCell ref="DU84:DU86"/>
    <mergeCell ref="DV84:DV86"/>
    <mergeCell ref="DW84:DW86"/>
    <mergeCell ref="DX84:DX86"/>
    <mergeCell ref="DY84:DY86"/>
    <mergeCell ref="DM84:DM86"/>
    <mergeCell ref="DN84:DN86"/>
    <mergeCell ref="DO84:DO86"/>
    <mergeCell ref="DP84:DP86"/>
    <mergeCell ref="DQ84:DQ86"/>
    <mergeCell ref="DR84:DR86"/>
    <mergeCell ref="DF84:DF86"/>
    <mergeCell ref="DG84:DG86"/>
    <mergeCell ref="DH84:DH86"/>
    <mergeCell ref="DI84:DI86"/>
    <mergeCell ref="DJ84:DJ86"/>
    <mergeCell ref="DL84:DL86"/>
    <mergeCell ref="CZ84:CZ86"/>
    <mergeCell ref="DA84:DA86"/>
    <mergeCell ref="DB84:DB86"/>
    <mergeCell ref="DD84:DD86"/>
    <mergeCell ref="DE84:DE86"/>
    <mergeCell ref="CS84:CS86"/>
    <mergeCell ref="CT84:CT86"/>
    <mergeCell ref="CU84:CU86"/>
    <mergeCell ref="CV84:CV86"/>
    <mergeCell ref="CX84:CX86"/>
    <mergeCell ref="CY84:CY86"/>
    <mergeCell ref="CM84:CM86"/>
    <mergeCell ref="CO84:CO86"/>
    <mergeCell ref="CP84:CP86"/>
    <mergeCell ref="CQ84:CQ86"/>
    <mergeCell ref="CR84:CR86"/>
    <mergeCell ref="CF84:CF86"/>
    <mergeCell ref="CG84:CG86"/>
    <mergeCell ref="CH84:CH86"/>
    <mergeCell ref="CJ84:CJ86"/>
    <mergeCell ref="CK84:CK86"/>
    <mergeCell ref="CL84:CL86"/>
    <mergeCell ref="BZ84:BZ86"/>
    <mergeCell ref="CA84:CA86"/>
    <mergeCell ref="CB84:CB86"/>
    <mergeCell ref="CC84:CC86"/>
    <mergeCell ref="CD84:CD86"/>
    <mergeCell ref="CE84:CE86"/>
    <mergeCell ref="BQ84:BQ86"/>
    <mergeCell ref="BR84:BR86"/>
    <mergeCell ref="BT84:BT86"/>
    <mergeCell ref="BV84:BV86"/>
    <mergeCell ref="BW84:BW86"/>
    <mergeCell ref="BX84:BX86"/>
    <mergeCell ref="BS84:BS86"/>
    <mergeCell ref="BU84:BU86"/>
    <mergeCell ref="CI84:CI86"/>
    <mergeCell ref="BK84:BK86"/>
    <mergeCell ref="BL84:BL86"/>
    <mergeCell ref="BM84:BM86"/>
    <mergeCell ref="BN84:BN86"/>
    <mergeCell ref="BO84:BO86"/>
    <mergeCell ref="BP84:BP86"/>
    <mergeCell ref="BE84:BE86"/>
    <mergeCell ref="BF84:BF86"/>
    <mergeCell ref="BG84:BG86"/>
    <mergeCell ref="BH84:BH86"/>
    <mergeCell ref="BI84:BI86"/>
    <mergeCell ref="BJ84:BJ86"/>
    <mergeCell ref="AX84:AX86"/>
    <mergeCell ref="AY84:AY86"/>
    <mergeCell ref="AZ84:AZ86"/>
    <mergeCell ref="BA84:BA86"/>
    <mergeCell ref="BB84:BB86"/>
    <mergeCell ref="BD84:BD86"/>
    <mergeCell ref="AR84:AR86"/>
    <mergeCell ref="AS84:AS86"/>
    <mergeCell ref="AT84:AT86"/>
    <mergeCell ref="AV84:AV86"/>
    <mergeCell ref="AW84:AW86"/>
    <mergeCell ref="AK84:AK86"/>
    <mergeCell ref="AL84:AL86"/>
    <mergeCell ref="AM84:AM86"/>
    <mergeCell ref="AN84:AN86"/>
    <mergeCell ref="AO84:AO86"/>
    <mergeCell ref="AP84:AP86"/>
    <mergeCell ref="BC84:BC86"/>
    <mergeCell ref="AE84:AE86"/>
    <mergeCell ref="AF84:AF86"/>
    <mergeCell ref="AG84:AG86"/>
    <mergeCell ref="AI84:AI86"/>
    <mergeCell ref="AJ84:AJ86"/>
    <mergeCell ref="X84:X86"/>
    <mergeCell ref="Y84:Y86"/>
    <mergeCell ref="AA84:AA86"/>
    <mergeCell ref="AB84:AB86"/>
    <mergeCell ref="AC84:AC86"/>
    <mergeCell ref="AD84:AD86"/>
    <mergeCell ref="Q84:Q86"/>
    <mergeCell ref="T84:T86"/>
    <mergeCell ref="U84:U86"/>
    <mergeCell ref="V84:V86"/>
    <mergeCell ref="W84:W86"/>
    <mergeCell ref="DX71:DX73"/>
    <mergeCell ref="CR71:CR73"/>
    <mergeCell ref="CS71:CS73"/>
    <mergeCell ref="CT71:CT73"/>
    <mergeCell ref="CU71:CU73"/>
    <mergeCell ref="CV71:CV73"/>
    <mergeCell ref="CK71:CK73"/>
    <mergeCell ref="CL71:CL73"/>
    <mergeCell ref="CM71:CM73"/>
    <mergeCell ref="CO71:CO73"/>
    <mergeCell ref="CP71:CP73"/>
    <mergeCell ref="CD71:CD73"/>
    <mergeCell ref="CE71:CE73"/>
    <mergeCell ref="CF71:CF73"/>
    <mergeCell ref="CG71:CG73"/>
    <mergeCell ref="CH71:CH73"/>
    <mergeCell ref="DY71:DY73"/>
    <mergeCell ref="J84:J86"/>
    <mergeCell ref="K84:K86"/>
    <mergeCell ref="L84:L86"/>
    <mergeCell ref="M84:M86"/>
    <mergeCell ref="N84:N86"/>
    <mergeCell ref="O84:O86"/>
    <mergeCell ref="DQ71:DQ73"/>
    <mergeCell ref="DR71:DR73"/>
    <mergeCell ref="DT71:DT73"/>
    <mergeCell ref="DU71:DU73"/>
    <mergeCell ref="DV71:DV73"/>
    <mergeCell ref="DW71:DW73"/>
    <mergeCell ref="DJ71:DJ73"/>
    <mergeCell ref="DL71:DL73"/>
    <mergeCell ref="DM71:DM73"/>
    <mergeCell ref="DN71:DN73"/>
    <mergeCell ref="AQ84:AQ86"/>
    <mergeCell ref="DO71:DO73"/>
    <mergeCell ref="DP71:DP73"/>
    <mergeCell ref="DD71:DD73"/>
    <mergeCell ref="DE71:DE73"/>
    <mergeCell ref="DF71:DF73"/>
    <mergeCell ref="DG71:DG73"/>
    <mergeCell ref="DH71:DH73"/>
    <mergeCell ref="DI71:DI73"/>
    <mergeCell ref="CX71:CX73"/>
    <mergeCell ref="CY71:CY73"/>
    <mergeCell ref="CZ71:CZ73"/>
    <mergeCell ref="DA71:DA73"/>
    <mergeCell ref="DB71:DB73"/>
    <mergeCell ref="CQ71:CQ73"/>
    <mergeCell ref="CJ71:CJ73"/>
    <mergeCell ref="BW71:BW73"/>
    <mergeCell ref="BX71:BX73"/>
    <mergeCell ref="BZ71:BZ73"/>
    <mergeCell ref="CA71:CA73"/>
    <mergeCell ref="CB71:CB73"/>
    <mergeCell ref="CC71:CC73"/>
    <mergeCell ref="CI71:CI73"/>
    <mergeCell ref="BO71:BO73"/>
    <mergeCell ref="BP71:BP73"/>
    <mergeCell ref="BQ71:BQ73"/>
    <mergeCell ref="BR71:BR73"/>
    <mergeCell ref="BT71:BT73"/>
    <mergeCell ref="BV71:BV73"/>
    <mergeCell ref="BI71:BI73"/>
    <mergeCell ref="BJ71:BJ73"/>
    <mergeCell ref="BK71:BK73"/>
    <mergeCell ref="BL71:BL73"/>
    <mergeCell ref="BM71:BM73"/>
    <mergeCell ref="BN71:BN73"/>
    <mergeCell ref="BB71:BB73"/>
    <mergeCell ref="BD71:BD73"/>
    <mergeCell ref="BE71:BE73"/>
    <mergeCell ref="BF71:BF73"/>
    <mergeCell ref="BG71:BG73"/>
    <mergeCell ref="BH71:BH73"/>
    <mergeCell ref="BS71:BS73"/>
    <mergeCell ref="BU71:BU73"/>
    <mergeCell ref="AV71:AV73"/>
    <mergeCell ref="AW71:AW73"/>
    <mergeCell ref="AX71:AX73"/>
    <mergeCell ref="AY71:AY73"/>
    <mergeCell ref="AZ71:AZ73"/>
    <mergeCell ref="BA71:BA73"/>
    <mergeCell ref="AO71:AO73"/>
    <mergeCell ref="AP71:AP73"/>
    <mergeCell ref="AQ71:AQ73"/>
    <mergeCell ref="AR71:AR73"/>
    <mergeCell ref="AS71:AS73"/>
    <mergeCell ref="AT71:AT73"/>
    <mergeCell ref="BC71:BC73"/>
    <mergeCell ref="AI71:AI73"/>
    <mergeCell ref="AJ71:AJ73"/>
    <mergeCell ref="AK71:AK73"/>
    <mergeCell ref="AL71:AL73"/>
    <mergeCell ref="AM71:AM73"/>
    <mergeCell ref="AN71:AN73"/>
    <mergeCell ref="AD71:AD73"/>
    <mergeCell ref="AE71:AE73"/>
    <mergeCell ref="AF71:AF73"/>
    <mergeCell ref="AG71:AG73"/>
    <mergeCell ref="W71:W73"/>
    <mergeCell ref="X71:X73"/>
    <mergeCell ref="Y71:Y73"/>
    <mergeCell ref="AA71:AA73"/>
    <mergeCell ref="AB71:AB73"/>
    <mergeCell ref="N71:N73"/>
    <mergeCell ref="O71:O73"/>
    <mergeCell ref="Q71:Q73"/>
    <mergeCell ref="T71:T73"/>
    <mergeCell ref="U71:U73"/>
    <mergeCell ref="V71:V73"/>
    <mergeCell ref="R71:R73"/>
    <mergeCell ref="S71:S73"/>
    <mergeCell ref="J71:J73"/>
    <mergeCell ref="K71:K73"/>
    <mergeCell ref="L71:L73"/>
    <mergeCell ref="M71:M73"/>
    <mergeCell ref="DT68:DT70"/>
    <mergeCell ref="DU68:DU70"/>
    <mergeCell ref="DV68:DV70"/>
    <mergeCell ref="DW68:DW70"/>
    <mergeCell ref="DX68:DX70"/>
    <mergeCell ref="DY68:DY70"/>
    <mergeCell ref="DM68:DM70"/>
    <mergeCell ref="DN68:DN70"/>
    <mergeCell ref="DO68:DO70"/>
    <mergeCell ref="DP68:DP70"/>
    <mergeCell ref="DQ68:DQ70"/>
    <mergeCell ref="DR68:DR70"/>
    <mergeCell ref="DF68:DF70"/>
    <mergeCell ref="DG68:DG70"/>
    <mergeCell ref="DH68:DH70"/>
    <mergeCell ref="DI68:DI70"/>
    <mergeCell ref="DJ68:DJ70"/>
    <mergeCell ref="DL68:DL70"/>
    <mergeCell ref="CZ68:CZ70"/>
    <mergeCell ref="DA68:DA70"/>
    <mergeCell ref="DB68:DB70"/>
    <mergeCell ref="DD68:DD70"/>
    <mergeCell ref="DE68:DE70"/>
    <mergeCell ref="CS68:CS70"/>
    <mergeCell ref="CT68:CT70"/>
    <mergeCell ref="AC71:AC73"/>
    <mergeCell ref="CU68:CU70"/>
    <mergeCell ref="CV68:CV70"/>
    <mergeCell ref="CX68:CX70"/>
    <mergeCell ref="CY68:CY70"/>
    <mergeCell ref="CM68:CM70"/>
    <mergeCell ref="CO68:CO70"/>
    <mergeCell ref="CP68:CP70"/>
    <mergeCell ref="CQ68:CQ70"/>
    <mergeCell ref="CR68:CR70"/>
    <mergeCell ref="CF68:CF70"/>
    <mergeCell ref="CG68:CG70"/>
    <mergeCell ref="CH68:CH70"/>
    <mergeCell ref="CJ68:CJ70"/>
    <mergeCell ref="CK68:CK70"/>
    <mergeCell ref="CL68:CL70"/>
    <mergeCell ref="BZ68:BZ70"/>
    <mergeCell ref="CA68:CA70"/>
    <mergeCell ref="CB68:CB70"/>
    <mergeCell ref="CC68:CC70"/>
    <mergeCell ref="CD68:CD70"/>
    <mergeCell ref="CE68:CE70"/>
    <mergeCell ref="CI68:CI70"/>
    <mergeCell ref="CW68:CW70"/>
    <mergeCell ref="BQ68:BQ70"/>
    <mergeCell ref="BR68:BR70"/>
    <mergeCell ref="BT68:BT70"/>
    <mergeCell ref="BV68:BV70"/>
    <mergeCell ref="BW68:BW70"/>
    <mergeCell ref="BX68:BX70"/>
    <mergeCell ref="BK68:BK70"/>
    <mergeCell ref="BL68:BL70"/>
    <mergeCell ref="BM68:BM70"/>
    <mergeCell ref="BN68:BN70"/>
    <mergeCell ref="BO68:BO70"/>
    <mergeCell ref="BP68:BP70"/>
    <mergeCell ref="BE68:BE70"/>
    <mergeCell ref="BF68:BF70"/>
    <mergeCell ref="BG68:BG70"/>
    <mergeCell ref="BH68:BH70"/>
    <mergeCell ref="BI68:BI70"/>
    <mergeCell ref="BJ68:BJ70"/>
    <mergeCell ref="BS68:BS70"/>
    <mergeCell ref="BU68:BU70"/>
    <mergeCell ref="AX68:AX70"/>
    <mergeCell ref="AY68:AY70"/>
    <mergeCell ref="AZ68:AZ70"/>
    <mergeCell ref="BA68:BA70"/>
    <mergeCell ref="BB68:BB70"/>
    <mergeCell ref="BD68:BD70"/>
    <mergeCell ref="AQ68:AQ70"/>
    <mergeCell ref="AR68:AR70"/>
    <mergeCell ref="AS68:AS70"/>
    <mergeCell ref="AT68:AT70"/>
    <mergeCell ref="AV68:AV70"/>
    <mergeCell ref="AW68:AW70"/>
    <mergeCell ref="AK68:AK70"/>
    <mergeCell ref="AL68:AL70"/>
    <mergeCell ref="AM68:AM70"/>
    <mergeCell ref="AN68:AN70"/>
    <mergeCell ref="AO68:AO70"/>
    <mergeCell ref="AP68:AP70"/>
    <mergeCell ref="BC68:BC70"/>
    <mergeCell ref="AE68:AE70"/>
    <mergeCell ref="AF68:AF70"/>
    <mergeCell ref="AG68:AG70"/>
    <mergeCell ref="AI68:AI70"/>
    <mergeCell ref="AJ68:AJ70"/>
    <mergeCell ref="X68:X70"/>
    <mergeCell ref="Y68:Y70"/>
    <mergeCell ref="AA68:AA70"/>
    <mergeCell ref="AB68:AB70"/>
    <mergeCell ref="AC68:AC70"/>
    <mergeCell ref="AD68:AD70"/>
    <mergeCell ref="Q68:Q70"/>
    <mergeCell ref="T68:T70"/>
    <mergeCell ref="U68:U70"/>
    <mergeCell ref="V68:V70"/>
    <mergeCell ref="W68:W70"/>
    <mergeCell ref="S68:S70"/>
    <mergeCell ref="AH68:AH70"/>
    <mergeCell ref="DX65:DX67"/>
    <mergeCell ref="DY65:DY67"/>
    <mergeCell ref="J68:J70"/>
    <mergeCell ref="K68:K70"/>
    <mergeCell ref="L68:L70"/>
    <mergeCell ref="M68:M70"/>
    <mergeCell ref="N68:N70"/>
    <mergeCell ref="O68:O70"/>
    <mergeCell ref="DQ65:DQ67"/>
    <mergeCell ref="DR65:DR67"/>
    <mergeCell ref="DT65:DT67"/>
    <mergeCell ref="DU65:DU67"/>
    <mergeCell ref="DV65:DV67"/>
    <mergeCell ref="DW65:DW67"/>
    <mergeCell ref="DJ65:DJ67"/>
    <mergeCell ref="DL65:DL67"/>
    <mergeCell ref="DM65:DM67"/>
    <mergeCell ref="DN65:DN67"/>
    <mergeCell ref="DO65:DO67"/>
    <mergeCell ref="DP65:DP67"/>
    <mergeCell ref="DD65:DD67"/>
    <mergeCell ref="DE65:DE67"/>
    <mergeCell ref="DF65:DF67"/>
    <mergeCell ref="DG65:DG67"/>
    <mergeCell ref="DH65:DH67"/>
    <mergeCell ref="DI65:DI67"/>
    <mergeCell ref="CX65:CX67"/>
    <mergeCell ref="CY65:CY67"/>
    <mergeCell ref="CZ65:CZ67"/>
    <mergeCell ref="DA65:DA67"/>
    <mergeCell ref="DB65:DB67"/>
    <mergeCell ref="CQ65:CQ67"/>
    <mergeCell ref="BR65:BR67"/>
    <mergeCell ref="BT65:BT67"/>
    <mergeCell ref="BV65:BV67"/>
    <mergeCell ref="BI65:BI67"/>
    <mergeCell ref="BJ65:BJ67"/>
    <mergeCell ref="BK65:BK67"/>
    <mergeCell ref="BL65:BL67"/>
    <mergeCell ref="BM65:BM67"/>
    <mergeCell ref="BN65:BN67"/>
    <mergeCell ref="BS65:BS67"/>
    <mergeCell ref="BU65:BU67"/>
    <mergeCell ref="BY65:BY67"/>
    <mergeCell ref="CR65:CR67"/>
    <mergeCell ref="CS65:CS67"/>
    <mergeCell ref="CT65:CT67"/>
    <mergeCell ref="CU65:CU67"/>
    <mergeCell ref="CV65:CV67"/>
    <mergeCell ref="CK65:CK67"/>
    <mergeCell ref="CL65:CL67"/>
    <mergeCell ref="CM65:CM67"/>
    <mergeCell ref="CO65:CO67"/>
    <mergeCell ref="CP65:CP67"/>
    <mergeCell ref="CD65:CD67"/>
    <mergeCell ref="CE65:CE67"/>
    <mergeCell ref="CF65:CF67"/>
    <mergeCell ref="CG65:CG67"/>
    <mergeCell ref="CH65:CH67"/>
    <mergeCell ref="CJ65:CJ67"/>
    <mergeCell ref="CI65:CI67"/>
    <mergeCell ref="W65:W67"/>
    <mergeCell ref="X65:X67"/>
    <mergeCell ref="Y65:Y67"/>
    <mergeCell ref="AA65:AA67"/>
    <mergeCell ref="AB65:AB67"/>
    <mergeCell ref="N65:N67"/>
    <mergeCell ref="O65:O67"/>
    <mergeCell ref="Q65:Q67"/>
    <mergeCell ref="T65:T67"/>
    <mergeCell ref="U65:U67"/>
    <mergeCell ref="V65:V67"/>
    <mergeCell ref="J65:J67"/>
    <mergeCell ref="K65:K67"/>
    <mergeCell ref="L65:L67"/>
    <mergeCell ref="M65:M67"/>
    <mergeCell ref="BB65:BB67"/>
    <mergeCell ref="BD65:BD67"/>
    <mergeCell ref="AV65:AV67"/>
    <mergeCell ref="AW65:AW67"/>
    <mergeCell ref="AX65:AX67"/>
    <mergeCell ref="AY65:AY67"/>
    <mergeCell ref="AZ65:AZ67"/>
    <mergeCell ref="BA65:BA67"/>
    <mergeCell ref="AO65:AO67"/>
    <mergeCell ref="AP65:AP67"/>
    <mergeCell ref="AQ65:AQ67"/>
    <mergeCell ref="AR65:AR67"/>
    <mergeCell ref="AS65:AS67"/>
    <mergeCell ref="AT65:AT67"/>
    <mergeCell ref="BC65:BC67"/>
    <mergeCell ref="AU65:AU67"/>
    <mergeCell ref="CV106:CV108"/>
    <mergeCell ref="CX106:CX108"/>
    <mergeCell ref="CY106:CY108"/>
    <mergeCell ref="CM106:CM108"/>
    <mergeCell ref="CO106:CO108"/>
    <mergeCell ref="CP106:CP108"/>
    <mergeCell ref="CQ106:CQ108"/>
    <mergeCell ref="CR106:CR108"/>
    <mergeCell ref="CF106:CF108"/>
    <mergeCell ref="CG106:CG108"/>
    <mergeCell ref="CH106:CH108"/>
    <mergeCell ref="CJ106:CJ108"/>
    <mergeCell ref="CK106:CK108"/>
    <mergeCell ref="CL106:CL108"/>
    <mergeCell ref="AC65:AC67"/>
    <mergeCell ref="AD65:AD67"/>
    <mergeCell ref="AE65:AE67"/>
    <mergeCell ref="AF65:AF67"/>
    <mergeCell ref="AG65:AG67"/>
    <mergeCell ref="BE65:BE67"/>
    <mergeCell ref="BF65:BF67"/>
    <mergeCell ref="BG65:BG67"/>
    <mergeCell ref="BH65:BH67"/>
    <mergeCell ref="BW65:BW67"/>
    <mergeCell ref="BX65:BX67"/>
    <mergeCell ref="BZ65:BZ67"/>
    <mergeCell ref="CA65:CA67"/>
    <mergeCell ref="CB65:CB67"/>
    <mergeCell ref="CC65:CC67"/>
    <mergeCell ref="BO65:BO67"/>
    <mergeCell ref="BP65:BP67"/>
    <mergeCell ref="BQ65:BQ67"/>
    <mergeCell ref="BZ106:BZ108"/>
    <mergeCell ref="CA106:CA108"/>
    <mergeCell ref="CB106:CB108"/>
    <mergeCell ref="CC106:CC108"/>
    <mergeCell ref="CD106:CD108"/>
    <mergeCell ref="DY106:DY108"/>
    <mergeCell ref="DM106:DM108"/>
    <mergeCell ref="DN106:DN108"/>
    <mergeCell ref="DO106:DO108"/>
    <mergeCell ref="DP106:DP108"/>
    <mergeCell ref="DQ106:DQ108"/>
    <mergeCell ref="DR106:DR108"/>
    <mergeCell ref="DF106:DF108"/>
    <mergeCell ref="DG106:DG108"/>
    <mergeCell ref="DH106:DH108"/>
    <mergeCell ref="DI106:DI108"/>
    <mergeCell ref="DJ106:DJ108"/>
    <mergeCell ref="DL106:DL108"/>
    <mergeCell ref="CZ106:CZ108"/>
    <mergeCell ref="DA106:DA108"/>
    <mergeCell ref="DB106:DB108"/>
    <mergeCell ref="DD106:DD108"/>
    <mergeCell ref="DE106:DE108"/>
    <mergeCell ref="CE106:CE108"/>
    <mergeCell ref="DT106:DT108"/>
    <mergeCell ref="DU106:DU108"/>
    <mergeCell ref="DV106:DV108"/>
    <mergeCell ref="DW106:DW108"/>
    <mergeCell ref="DX106:DX108"/>
    <mergeCell ref="CS106:CS108"/>
    <mergeCell ref="CT106:CT108"/>
    <mergeCell ref="CU106:CU108"/>
    <mergeCell ref="BQ106:BQ108"/>
    <mergeCell ref="BR106:BR108"/>
    <mergeCell ref="BT106:BT108"/>
    <mergeCell ref="BV106:BV108"/>
    <mergeCell ref="BW106:BW108"/>
    <mergeCell ref="BX106:BX108"/>
    <mergeCell ref="BK106:BK108"/>
    <mergeCell ref="BL106:BL108"/>
    <mergeCell ref="BM106:BM108"/>
    <mergeCell ref="BN106:BN108"/>
    <mergeCell ref="BO106:BO108"/>
    <mergeCell ref="BP106:BP108"/>
    <mergeCell ref="BS106:BS108"/>
    <mergeCell ref="BU106:BU108"/>
    <mergeCell ref="BE106:BE108"/>
    <mergeCell ref="BF106:BF108"/>
    <mergeCell ref="BG106:BG108"/>
    <mergeCell ref="BH106:BH108"/>
    <mergeCell ref="BI106:BI108"/>
    <mergeCell ref="BJ106:BJ108"/>
    <mergeCell ref="AX106:AX108"/>
    <mergeCell ref="AY106:AY108"/>
    <mergeCell ref="AZ106:AZ108"/>
    <mergeCell ref="BA106:BA108"/>
    <mergeCell ref="BB106:BB108"/>
    <mergeCell ref="BD106:BD108"/>
    <mergeCell ref="AQ106:AQ108"/>
    <mergeCell ref="AR106:AR108"/>
    <mergeCell ref="AS106:AS108"/>
    <mergeCell ref="AT106:AT108"/>
    <mergeCell ref="AV106:AV108"/>
    <mergeCell ref="AW106:AW108"/>
    <mergeCell ref="BC106:BC108"/>
    <mergeCell ref="AL106:AL108"/>
    <mergeCell ref="AM106:AM108"/>
    <mergeCell ref="AN106:AN108"/>
    <mergeCell ref="AO106:AO108"/>
    <mergeCell ref="AP106:AP108"/>
    <mergeCell ref="AU106:AU108"/>
    <mergeCell ref="AE106:AE108"/>
    <mergeCell ref="AF106:AF108"/>
    <mergeCell ref="AG106:AG108"/>
    <mergeCell ref="AI106:AI108"/>
    <mergeCell ref="AJ106:AJ108"/>
    <mergeCell ref="X106:X108"/>
    <mergeCell ref="Y106:Y108"/>
    <mergeCell ref="AA106:AA108"/>
    <mergeCell ref="AB106:AB108"/>
    <mergeCell ref="AC106:AC108"/>
    <mergeCell ref="AD106:AD108"/>
    <mergeCell ref="Z106:Z108"/>
    <mergeCell ref="AH106:AH108"/>
    <mergeCell ref="Q106:Q108"/>
    <mergeCell ref="T106:T108"/>
    <mergeCell ref="U106:U108"/>
    <mergeCell ref="V106:V108"/>
    <mergeCell ref="W106:W108"/>
    <mergeCell ref="S106:S108"/>
    <mergeCell ref="J106:J108"/>
    <mergeCell ref="K106:K108"/>
    <mergeCell ref="L106:L108"/>
    <mergeCell ref="M106:M108"/>
    <mergeCell ref="N106:N108"/>
    <mergeCell ref="O106:O108"/>
    <mergeCell ref="DD103:DD105"/>
    <mergeCell ref="DE103:DE105"/>
    <mergeCell ref="DF103:DF105"/>
    <mergeCell ref="DG103:DG105"/>
    <mergeCell ref="AK106:AK108"/>
    <mergeCell ref="CD103:CD105"/>
    <mergeCell ref="CE103:CE105"/>
    <mergeCell ref="CF103:CF105"/>
    <mergeCell ref="CG103:CG105"/>
    <mergeCell ref="CH103:CH105"/>
    <mergeCell ref="CJ103:CJ105"/>
    <mergeCell ref="BW103:BW105"/>
    <mergeCell ref="BX103:BX105"/>
    <mergeCell ref="BZ103:BZ105"/>
    <mergeCell ref="CA103:CA105"/>
    <mergeCell ref="CB103:CB105"/>
    <mergeCell ref="CC103:CC105"/>
    <mergeCell ref="BO103:BO105"/>
    <mergeCell ref="BP103:BP105"/>
    <mergeCell ref="BQ103:BQ105"/>
    <mergeCell ref="BR103:BR105"/>
    <mergeCell ref="BT103:BT105"/>
    <mergeCell ref="BV103:BV105"/>
    <mergeCell ref="BI103:BI105"/>
    <mergeCell ref="BJ103:BJ105"/>
    <mergeCell ref="BK103:BK105"/>
    <mergeCell ref="BA103:BA105"/>
    <mergeCell ref="BC103:BC105"/>
    <mergeCell ref="BS103:BS105"/>
    <mergeCell ref="DH103:DH105"/>
    <mergeCell ref="DI103:DI105"/>
    <mergeCell ref="CX103:CX105"/>
    <mergeCell ref="CY103:CY105"/>
    <mergeCell ref="CZ103:CZ105"/>
    <mergeCell ref="DA103:DA105"/>
    <mergeCell ref="DB103:DB105"/>
    <mergeCell ref="CQ103:CQ105"/>
    <mergeCell ref="CR103:CR105"/>
    <mergeCell ref="CS103:CS105"/>
    <mergeCell ref="CT103:CT105"/>
    <mergeCell ref="CU103:CU105"/>
    <mergeCell ref="CV103:CV105"/>
    <mergeCell ref="CK103:CK105"/>
    <mergeCell ref="CL103:CL105"/>
    <mergeCell ref="CM103:CM105"/>
    <mergeCell ref="CO103:CO105"/>
    <mergeCell ref="CP103:CP105"/>
    <mergeCell ref="CW103:CW105"/>
    <mergeCell ref="CI103:CI105"/>
    <mergeCell ref="CN103:CN105"/>
    <mergeCell ref="BU103:BU105"/>
    <mergeCell ref="BL103:BL105"/>
    <mergeCell ref="BM103:BM105"/>
    <mergeCell ref="BN103:BN105"/>
    <mergeCell ref="BB103:BB105"/>
    <mergeCell ref="BD103:BD105"/>
    <mergeCell ref="BE103:BE105"/>
    <mergeCell ref="BF103:BF105"/>
    <mergeCell ref="N103:N105"/>
    <mergeCell ref="O103:O105"/>
    <mergeCell ref="Q103:Q105"/>
    <mergeCell ref="T103:T105"/>
    <mergeCell ref="U103:U105"/>
    <mergeCell ref="V103:V105"/>
    <mergeCell ref="AO103:AO105"/>
    <mergeCell ref="AP103:AP105"/>
    <mergeCell ref="AQ103:AQ105"/>
    <mergeCell ref="AR103:AR105"/>
    <mergeCell ref="AS103:AS105"/>
    <mergeCell ref="AT103:AT105"/>
    <mergeCell ref="AI103:AI105"/>
    <mergeCell ref="AJ103:AJ105"/>
    <mergeCell ref="AK103:AK105"/>
    <mergeCell ref="AL103:AL105"/>
    <mergeCell ref="AM103:AM105"/>
    <mergeCell ref="AN103:AN105"/>
    <mergeCell ref="AC103:AC105"/>
    <mergeCell ref="AD103:AD105"/>
    <mergeCell ref="AE103:AE105"/>
    <mergeCell ref="AF103:AF105"/>
    <mergeCell ref="AG103:AG105"/>
    <mergeCell ref="AH103:AH105"/>
    <mergeCell ref="S103:S105"/>
    <mergeCell ref="Z103:Z105"/>
    <mergeCell ref="CX100:CX101"/>
    <mergeCell ref="AE100:AE101"/>
    <mergeCell ref="U100:U101"/>
    <mergeCell ref="V100:V101"/>
    <mergeCell ref="W100:W101"/>
    <mergeCell ref="T100:T101"/>
    <mergeCell ref="AK100:AK101"/>
    <mergeCell ref="AL100:AL101"/>
    <mergeCell ref="AM100:AM101"/>
    <mergeCell ref="AN100:AN101"/>
    <mergeCell ref="AO100:AO101"/>
    <mergeCell ref="AP100:AP101"/>
    <mergeCell ref="X100:X101"/>
    <mergeCell ref="Y100:Y101"/>
    <mergeCell ref="AA100:AA101"/>
    <mergeCell ref="AB100:AB101"/>
    <mergeCell ref="AC100:AC101"/>
    <mergeCell ref="AD100:AD101"/>
    <mergeCell ref="BO100:BO101"/>
    <mergeCell ref="BP100:BP101"/>
    <mergeCell ref="BS100:BS101"/>
    <mergeCell ref="BU100:BU101"/>
    <mergeCell ref="CI100:CI101"/>
    <mergeCell ref="CN100:CN101"/>
    <mergeCell ref="BA100:BA101"/>
    <mergeCell ref="BB100:BB101"/>
    <mergeCell ref="BD100:BD101"/>
    <mergeCell ref="BE100:BE101"/>
    <mergeCell ref="BF100:BF101"/>
    <mergeCell ref="AS100:AS101"/>
    <mergeCell ref="AT100:AT101"/>
    <mergeCell ref="AV100:AV101"/>
    <mergeCell ref="BG103:BG105"/>
    <mergeCell ref="BH103:BH105"/>
    <mergeCell ref="AV103:AV105"/>
    <mergeCell ref="AW103:AW105"/>
    <mergeCell ref="AX103:AX105"/>
    <mergeCell ref="AY103:AY105"/>
    <mergeCell ref="W103:W105"/>
    <mergeCell ref="X103:X105"/>
    <mergeCell ref="Y103:Y105"/>
    <mergeCell ref="AA103:AA105"/>
    <mergeCell ref="AB103:AB105"/>
    <mergeCell ref="AZ103:AZ105"/>
    <mergeCell ref="CY100:CY101"/>
    <mergeCell ref="CS100:CS101"/>
    <mergeCell ref="CT100:CT101"/>
    <mergeCell ref="CH100:CH101"/>
    <mergeCell ref="CJ100:CJ101"/>
    <mergeCell ref="CK100:CK101"/>
    <mergeCell ref="CL100:CL101"/>
    <mergeCell ref="CF100:CF101"/>
    <mergeCell ref="CG100:CG101"/>
    <mergeCell ref="BT100:BT101"/>
    <mergeCell ref="BV100:BV101"/>
    <mergeCell ref="BW100:BW101"/>
    <mergeCell ref="BX100:BX101"/>
    <mergeCell ref="BQ100:BQ101"/>
    <mergeCell ref="BR100:BR101"/>
    <mergeCell ref="BG100:BG101"/>
    <mergeCell ref="BH100:BH101"/>
    <mergeCell ref="BI100:BI101"/>
    <mergeCell ref="BJ100:BJ101"/>
    <mergeCell ref="CV100:CV101"/>
    <mergeCell ref="DX97:DX99"/>
    <mergeCell ref="DY97:DY99"/>
    <mergeCell ref="DQ97:DQ99"/>
    <mergeCell ref="DR97:DR99"/>
    <mergeCell ref="DT97:DT99"/>
    <mergeCell ref="DU97:DU99"/>
    <mergeCell ref="DV97:DV99"/>
    <mergeCell ref="DW97:DW99"/>
    <mergeCell ref="DJ97:DJ99"/>
    <mergeCell ref="DL97:DL99"/>
    <mergeCell ref="DM97:DM99"/>
    <mergeCell ref="DN97:DN99"/>
    <mergeCell ref="DO97:DO99"/>
    <mergeCell ref="DP97:DP99"/>
    <mergeCell ref="DD97:DD99"/>
    <mergeCell ref="DE97:DE99"/>
    <mergeCell ref="DF97:DF99"/>
    <mergeCell ref="DG97:DG99"/>
    <mergeCell ref="DH97:DH99"/>
    <mergeCell ref="DI97:DI99"/>
    <mergeCell ref="CX97:CX99"/>
    <mergeCell ref="CY97:CY99"/>
    <mergeCell ref="CZ97:CZ99"/>
    <mergeCell ref="DA97:DA99"/>
    <mergeCell ref="DB97:DB99"/>
    <mergeCell ref="CQ97:CQ99"/>
    <mergeCell ref="CR97:CR99"/>
    <mergeCell ref="CS97:CS99"/>
    <mergeCell ref="CT97:CT99"/>
    <mergeCell ref="CU97:CU99"/>
    <mergeCell ref="CV97:CV99"/>
    <mergeCell ref="CK97:CK99"/>
    <mergeCell ref="CL97:CL99"/>
    <mergeCell ref="CM97:CM99"/>
    <mergeCell ref="CO97:CO99"/>
    <mergeCell ref="CP97:CP99"/>
    <mergeCell ref="DC97:DC99"/>
    <mergeCell ref="CD97:CD99"/>
    <mergeCell ref="CE97:CE99"/>
    <mergeCell ref="CF97:CF99"/>
    <mergeCell ref="CG97:CG99"/>
    <mergeCell ref="CH97:CH99"/>
    <mergeCell ref="CJ97:CJ99"/>
    <mergeCell ref="BW97:BW99"/>
    <mergeCell ref="BX97:BX99"/>
    <mergeCell ref="BZ97:BZ99"/>
    <mergeCell ref="CA97:CA99"/>
    <mergeCell ref="CB97:CB99"/>
    <mergeCell ref="CC97:CC99"/>
    <mergeCell ref="CN97:CN99"/>
    <mergeCell ref="BO97:BO99"/>
    <mergeCell ref="BP97:BP99"/>
    <mergeCell ref="BQ97:BQ99"/>
    <mergeCell ref="BR97:BR99"/>
    <mergeCell ref="BT97:BT99"/>
    <mergeCell ref="BV97:BV99"/>
    <mergeCell ref="BS97:BS99"/>
    <mergeCell ref="BU97:BU99"/>
    <mergeCell ref="CI97:CI99"/>
    <mergeCell ref="BI97:BI99"/>
    <mergeCell ref="BJ97:BJ99"/>
    <mergeCell ref="BK97:BK99"/>
    <mergeCell ref="BL97:BL99"/>
    <mergeCell ref="BM97:BM99"/>
    <mergeCell ref="BN97:BN99"/>
    <mergeCell ref="BB97:BB99"/>
    <mergeCell ref="BD97:BD99"/>
    <mergeCell ref="BE97:BE99"/>
    <mergeCell ref="BF97:BF99"/>
    <mergeCell ref="BG97:BG99"/>
    <mergeCell ref="BH97:BH99"/>
    <mergeCell ref="AV97:AV99"/>
    <mergeCell ref="AW97:AW99"/>
    <mergeCell ref="AX97:AX99"/>
    <mergeCell ref="AY97:AY99"/>
    <mergeCell ref="AZ97:AZ99"/>
    <mergeCell ref="BA97:BA99"/>
    <mergeCell ref="BC97:BC99"/>
    <mergeCell ref="AO97:AO99"/>
    <mergeCell ref="AP97:AP99"/>
    <mergeCell ref="AQ97:AQ99"/>
    <mergeCell ref="AR97:AR99"/>
    <mergeCell ref="AS97:AS99"/>
    <mergeCell ref="AT97:AT99"/>
    <mergeCell ref="AI97:AI99"/>
    <mergeCell ref="AJ97:AJ99"/>
    <mergeCell ref="AK97:AK99"/>
    <mergeCell ref="AL97:AL99"/>
    <mergeCell ref="AM97:AM99"/>
    <mergeCell ref="AN97:AN99"/>
    <mergeCell ref="AU97:AU99"/>
    <mergeCell ref="AC97:AC99"/>
    <mergeCell ref="AD97:AD99"/>
    <mergeCell ref="AE97:AE99"/>
    <mergeCell ref="AF97:AF99"/>
    <mergeCell ref="AG97:AG99"/>
    <mergeCell ref="AH97:AH99"/>
    <mergeCell ref="W97:W99"/>
    <mergeCell ref="X97:X99"/>
    <mergeCell ref="Y97:Y99"/>
    <mergeCell ref="AA97:AA99"/>
    <mergeCell ref="AB97:AB99"/>
    <mergeCell ref="N97:N99"/>
    <mergeCell ref="O97:O99"/>
    <mergeCell ref="Q97:Q99"/>
    <mergeCell ref="T97:T99"/>
    <mergeCell ref="U97:U99"/>
    <mergeCell ref="V97:V99"/>
    <mergeCell ref="J97:J99"/>
    <mergeCell ref="K97:K99"/>
    <mergeCell ref="L97:L99"/>
    <mergeCell ref="M97:M99"/>
    <mergeCell ref="DT94:DT96"/>
    <mergeCell ref="DU94:DU96"/>
    <mergeCell ref="CS94:CS96"/>
    <mergeCell ref="CT94:CT96"/>
    <mergeCell ref="CU94:CU96"/>
    <mergeCell ref="CV94:CV96"/>
    <mergeCell ref="CX94:CX96"/>
    <mergeCell ref="CY94:CY96"/>
    <mergeCell ref="CM94:CM96"/>
    <mergeCell ref="CO94:CO96"/>
    <mergeCell ref="CP94:CP96"/>
    <mergeCell ref="CQ94:CQ96"/>
    <mergeCell ref="CR94:CR96"/>
    <mergeCell ref="CN94:CN96"/>
    <mergeCell ref="CF94:CF96"/>
    <mergeCell ref="CG94:CG96"/>
    <mergeCell ref="CH94:CH96"/>
    <mergeCell ref="DV94:DV96"/>
    <mergeCell ref="DW94:DW96"/>
    <mergeCell ref="DX94:DX96"/>
    <mergeCell ref="DY94:DY96"/>
    <mergeCell ref="DM94:DM96"/>
    <mergeCell ref="DN94:DN96"/>
    <mergeCell ref="DO94:DO96"/>
    <mergeCell ref="DP94:DP96"/>
    <mergeCell ref="DQ94:DQ96"/>
    <mergeCell ref="DR94:DR96"/>
    <mergeCell ref="DF94:DF96"/>
    <mergeCell ref="DG94:DG96"/>
    <mergeCell ref="DH94:DH96"/>
    <mergeCell ref="DI94:DI96"/>
    <mergeCell ref="DJ94:DJ96"/>
    <mergeCell ref="DL94:DL96"/>
    <mergeCell ref="CZ94:CZ96"/>
    <mergeCell ref="DA94:DA96"/>
    <mergeCell ref="DB94:DB96"/>
    <mergeCell ref="DD94:DD96"/>
    <mergeCell ref="DE94:DE96"/>
    <mergeCell ref="DC94:DC96"/>
    <mergeCell ref="CJ94:CJ96"/>
    <mergeCell ref="CK94:CK96"/>
    <mergeCell ref="CL94:CL96"/>
    <mergeCell ref="BZ94:BZ96"/>
    <mergeCell ref="CA94:CA96"/>
    <mergeCell ref="CB94:CB96"/>
    <mergeCell ref="CC94:CC96"/>
    <mergeCell ref="CD94:CD96"/>
    <mergeCell ref="CE94:CE96"/>
    <mergeCell ref="BQ94:BQ96"/>
    <mergeCell ref="BR94:BR96"/>
    <mergeCell ref="BT94:BT96"/>
    <mergeCell ref="BV94:BV96"/>
    <mergeCell ref="BW94:BW96"/>
    <mergeCell ref="BX94:BX96"/>
    <mergeCell ref="BS94:BS96"/>
    <mergeCell ref="BU94:BU96"/>
    <mergeCell ref="CI94:CI96"/>
    <mergeCell ref="BK94:BK96"/>
    <mergeCell ref="BL94:BL96"/>
    <mergeCell ref="BM94:BM96"/>
    <mergeCell ref="BN94:BN96"/>
    <mergeCell ref="BO94:BO96"/>
    <mergeCell ref="BP94:BP96"/>
    <mergeCell ref="BE94:BE96"/>
    <mergeCell ref="BF94:BF96"/>
    <mergeCell ref="BG94:BG96"/>
    <mergeCell ref="BH94:BH96"/>
    <mergeCell ref="BI94:BI96"/>
    <mergeCell ref="BJ94:BJ96"/>
    <mergeCell ref="AX94:AX96"/>
    <mergeCell ref="AY94:AY96"/>
    <mergeCell ref="AZ94:AZ96"/>
    <mergeCell ref="BA94:BA96"/>
    <mergeCell ref="BB94:BB96"/>
    <mergeCell ref="BD94:BD96"/>
    <mergeCell ref="BC94:BC96"/>
    <mergeCell ref="AS94:AS96"/>
    <mergeCell ref="AT94:AT96"/>
    <mergeCell ref="AV94:AV96"/>
    <mergeCell ref="AW94:AW96"/>
    <mergeCell ref="AK94:AK96"/>
    <mergeCell ref="AL94:AL96"/>
    <mergeCell ref="AM94:AM96"/>
    <mergeCell ref="AN94:AN96"/>
    <mergeCell ref="AO94:AO96"/>
    <mergeCell ref="AP94:AP96"/>
    <mergeCell ref="AE94:AE96"/>
    <mergeCell ref="AF94:AF96"/>
    <mergeCell ref="AG94:AG96"/>
    <mergeCell ref="AI94:AI96"/>
    <mergeCell ref="AJ94:AJ96"/>
    <mergeCell ref="X94:X96"/>
    <mergeCell ref="Y94:Y96"/>
    <mergeCell ref="AA94:AA96"/>
    <mergeCell ref="AB94:AB96"/>
    <mergeCell ref="AC94:AC96"/>
    <mergeCell ref="AD94:AD96"/>
    <mergeCell ref="AU94:AU96"/>
    <mergeCell ref="AH94:AH96"/>
    <mergeCell ref="Z94:Z96"/>
    <mergeCell ref="T94:T96"/>
    <mergeCell ref="U94:U96"/>
    <mergeCell ref="V94:V96"/>
    <mergeCell ref="W94:W96"/>
    <mergeCell ref="DX81:DX83"/>
    <mergeCell ref="DY81:DY83"/>
    <mergeCell ref="J94:J96"/>
    <mergeCell ref="K94:K96"/>
    <mergeCell ref="L94:L96"/>
    <mergeCell ref="M94:M96"/>
    <mergeCell ref="N94:N96"/>
    <mergeCell ref="O94:O96"/>
    <mergeCell ref="DQ81:DQ83"/>
    <mergeCell ref="DR81:DR83"/>
    <mergeCell ref="DT81:DT83"/>
    <mergeCell ref="DU81:DU83"/>
    <mergeCell ref="DV81:DV83"/>
    <mergeCell ref="DW81:DW83"/>
    <mergeCell ref="DJ81:DJ83"/>
    <mergeCell ref="DL81:DL83"/>
    <mergeCell ref="DM81:DM83"/>
    <mergeCell ref="DN81:DN83"/>
    <mergeCell ref="AQ94:AQ96"/>
    <mergeCell ref="DO81:DO83"/>
    <mergeCell ref="DP81:DP83"/>
    <mergeCell ref="DD81:DD83"/>
    <mergeCell ref="DE81:DE83"/>
    <mergeCell ref="DF81:DF83"/>
    <mergeCell ref="DG81:DG83"/>
    <mergeCell ref="DH81:DH83"/>
    <mergeCell ref="DI81:DI83"/>
    <mergeCell ref="AR94:AR96"/>
    <mergeCell ref="DB81:DB83"/>
    <mergeCell ref="CQ81:CQ83"/>
    <mergeCell ref="CR81:CR83"/>
    <mergeCell ref="CS81:CS83"/>
    <mergeCell ref="CT81:CT83"/>
    <mergeCell ref="CU81:CU83"/>
    <mergeCell ref="CV81:CV83"/>
    <mergeCell ref="CL81:CL83"/>
    <mergeCell ref="CM81:CM83"/>
    <mergeCell ref="CO81:CO83"/>
    <mergeCell ref="CP81:CP83"/>
    <mergeCell ref="CD81:CD83"/>
    <mergeCell ref="CE81:CE83"/>
    <mergeCell ref="CF81:CF83"/>
    <mergeCell ref="CG81:CG83"/>
    <mergeCell ref="CH81:CH83"/>
    <mergeCell ref="CJ81:CJ83"/>
    <mergeCell ref="CK81:CK83"/>
    <mergeCell ref="CI81:CI83"/>
    <mergeCell ref="CB81:CB83"/>
    <mergeCell ref="CC81:CC83"/>
    <mergeCell ref="BQ81:BQ83"/>
    <mergeCell ref="BR81:BR83"/>
    <mergeCell ref="BT81:BT83"/>
    <mergeCell ref="BV81:BV83"/>
    <mergeCell ref="BI81:BI83"/>
    <mergeCell ref="BJ81:BJ83"/>
    <mergeCell ref="BK81:BK83"/>
    <mergeCell ref="BL81:BL83"/>
    <mergeCell ref="BM81:BM83"/>
    <mergeCell ref="BN81:BN83"/>
    <mergeCell ref="BC81:BC83"/>
    <mergeCell ref="CX81:CX83"/>
    <mergeCell ref="CY81:CY83"/>
    <mergeCell ref="CZ81:CZ83"/>
    <mergeCell ref="DA81:DA83"/>
    <mergeCell ref="W81:W83"/>
    <mergeCell ref="X81:X83"/>
    <mergeCell ref="Y81:Y83"/>
    <mergeCell ref="AA81:AA83"/>
    <mergeCell ref="AB81:AB83"/>
    <mergeCell ref="N81:N83"/>
    <mergeCell ref="O81:O83"/>
    <mergeCell ref="Q81:Q83"/>
    <mergeCell ref="T81:T83"/>
    <mergeCell ref="U81:U83"/>
    <mergeCell ref="V81:V83"/>
    <mergeCell ref="R81:R83"/>
    <mergeCell ref="AV81:AV83"/>
    <mergeCell ref="AW81:AW83"/>
    <mergeCell ref="AX81:AX83"/>
    <mergeCell ref="BB81:BB83"/>
    <mergeCell ref="BD81:BD83"/>
    <mergeCell ref="AH81:AH83"/>
    <mergeCell ref="AY81:AY83"/>
    <mergeCell ref="AZ81:AZ83"/>
    <mergeCell ref="BA81:BA83"/>
    <mergeCell ref="AO81:AO83"/>
    <mergeCell ref="AP81:AP83"/>
    <mergeCell ref="AQ81:AQ83"/>
    <mergeCell ref="AR81:AR83"/>
    <mergeCell ref="AS81:AS83"/>
    <mergeCell ref="AT81:AT83"/>
    <mergeCell ref="S81:S83"/>
    <mergeCell ref="CZ78:CZ80"/>
    <mergeCell ref="DA78:DA80"/>
    <mergeCell ref="DB78:DB80"/>
    <mergeCell ref="DD78:DD80"/>
    <mergeCell ref="DE78:DE80"/>
    <mergeCell ref="CS78:CS80"/>
    <mergeCell ref="CT78:CT80"/>
    <mergeCell ref="AC81:AC83"/>
    <mergeCell ref="AD81:AD83"/>
    <mergeCell ref="AE81:AE83"/>
    <mergeCell ref="AF81:AF83"/>
    <mergeCell ref="CU78:CU80"/>
    <mergeCell ref="CV78:CV80"/>
    <mergeCell ref="AI81:AI83"/>
    <mergeCell ref="AJ81:AJ83"/>
    <mergeCell ref="AK81:AK83"/>
    <mergeCell ref="AL81:AL83"/>
    <mergeCell ref="AM81:AM83"/>
    <mergeCell ref="AN81:AN83"/>
    <mergeCell ref="BO81:BO83"/>
    <mergeCell ref="BP81:BP83"/>
    <mergeCell ref="AG81:AG83"/>
    <mergeCell ref="BE81:BE83"/>
    <mergeCell ref="BF81:BF83"/>
    <mergeCell ref="BG81:BG83"/>
    <mergeCell ref="BH81:BH83"/>
    <mergeCell ref="BS81:BS83"/>
    <mergeCell ref="BU81:BU83"/>
    <mergeCell ref="BW81:BW83"/>
    <mergeCell ref="BX81:BX83"/>
    <mergeCell ref="BZ81:BZ83"/>
    <mergeCell ref="CA81:CA83"/>
    <mergeCell ref="DT78:DT80"/>
    <mergeCell ref="DU78:DU80"/>
    <mergeCell ref="DV78:DV80"/>
    <mergeCell ref="DW78:DW80"/>
    <mergeCell ref="DX78:DX80"/>
    <mergeCell ref="DY78:DY80"/>
    <mergeCell ref="DM78:DM80"/>
    <mergeCell ref="DN78:DN80"/>
    <mergeCell ref="DO78:DO80"/>
    <mergeCell ref="DP78:DP80"/>
    <mergeCell ref="DQ78:DQ80"/>
    <mergeCell ref="DR78:DR80"/>
    <mergeCell ref="DF78:DF80"/>
    <mergeCell ref="DG78:DG80"/>
    <mergeCell ref="DH78:DH80"/>
    <mergeCell ref="DI78:DI80"/>
    <mergeCell ref="DJ78:DJ80"/>
    <mergeCell ref="DL78:DL80"/>
    <mergeCell ref="BO78:BO80"/>
    <mergeCell ref="BP78:BP80"/>
    <mergeCell ref="BE78:BE80"/>
    <mergeCell ref="BF78:BF80"/>
    <mergeCell ref="BG78:BG80"/>
    <mergeCell ref="BH78:BH80"/>
    <mergeCell ref="BI78:BI80"/>
    <mergeCell ref="BJ78:BJ80"/>
    <mergeCell ref="BS78:BS80"/>
    <mergeCell ref="BU78:BU80"/>
    <mergeCell ref="CX78:CX80"/>
    <mergeCell ref="CY78:CY80"/>
    <mergeCell ref="CM78:CM80"/>
    <mergeCell ref="CO78:CO80"/>
    <mergeCell ref="CP78:CP80"/>
    <mergeCell ref="CQ78:CQ80"/>
    <mergeCell ref="CR78:CR80"/>
    <mergeCell ref="CF78:CF80"/>
    <mergeCell ref="CG78:CG80"/>
    <mergeCell ref="CH78:CH80"/>
    <mergeCell ref="CJ78:CJ80"/>
    <mergeCell ref="CK78:CK80"/>
    <mergeCell ref="CL78:CL80"/>
    <mergeCell ref="BZ78:BZ80"/>
    <mergeCell ref="CA78:CA80"/>
    <mergeCell ref="CB78:CB80"/>
    <mergeCell ref="CC78:CC80"/>
    <mergeCell ref="CD78:CD80"/>
    <mergeCell ref="CE78:CE80"/>
    <mergeCell ref="CI78:CI80"/>
    <mergeCell ref="DX75:DX77"/>
    <mergeCell ref="CT75:CT77"/>
    <mergeCell ref="CU75:CU77"/>
    <mergeCell ref="CV75:CV77"/>
    <mergeCell ref="CK75:CK77"/>
    <mergeCell ref="CL75:CL77"/>
    <mergeCell ref="CM75:CM77"/>
    <mergeCell ref="CO75:CO77"/>
    <mergeCell ref="CP75:CP77"/>
    <mergeCell ref="CD75:CD77"/>
    <mergeCell ref="CE75:CE77"/>
    <mergeCell ref="CF75:CF77"/>
    <mergeCell ref="CG75:CG77"/>
    <mergeCell ref="CH75:CH77"/>
    <mergeCell ref="CJ75:CJ77"/>
    <mergeCell ref="CI75:CI77"/>
    <mergeCell ref="AX78:AX80"/>
    <mergeCell ref="AY78:AY80"/>
    <mergeCell ref="AZ78:AZ80"/>
    <mergeCell ref="BA78:BA80"/>
    <mergeCell ref="BB78:BB80"/>
    <mergeCell ref="BD78:BD80"/>
    <mergeCell ref="BC78:BC80"/>
    <mergeCell ref="BQ78:BQ80"/>
    <mergeCell ref="BR78:BR80"/>
    <mergeCell ref="BT78:BT80"/>
    <mergeCell ref="BV78:BV80"/>
    <mergeCell ref="BW78:BW80"/>
    <mergeCell ref="BX78:BX80"/>
    <mergeCell ref="BK78:BK80"/>
    <mergeCell ref="BL78:BL80"/>
    <mergeCell ref="BM78:BM80"/>
    <mergeCell ref="CQ75:CQ77"/>
    <mergeCell ref="CR75:CR77"/>
    <mergeCell ref="CS75:CS77"/>
    <mergeCell ref="AE78:AE80"/>
    <mergeCell ref="AF78:AF80"/>
    <mergeCell ref="AG78:AG80"/>
    <mergeCell ref="AI78:AI80"/>
    <mergeCell ref="AJ78:AJ80"/>
    <mergeCell ref="X78:X80"/>
    <mergeCell ref="Y78:Y80"/>
    <mergeCell ref="AA78:AA80"/>
    <mergeCell ref="AB78:AB80"/>
    <mergeCell ref="AC78:AC80"/>
    <mergeCell ref="AD78:AD80"/>
    <mergeCell ref="Q78:Q80"/>
    <mergeCell ref="T78:T80"/>
    <mergeCell ref="U78:U80"/>
    <mergeCell ref="V78:V80"/>
    <mergeCell ref="W78:W80"/>
    <mergeCell ref="AQ78:AQ80"/>
    <mergeCell ref="AR78:AR80"/>
    <mergeCell ref="AS78:AS80"/>
    <mergeCell ref="AT78:AT80"/>
    <mergeCell ref="AV78:AV80"/>
    <mergeCell ref="AW78:AW80"/>
    <mergeCell ref="AK78:AK80"/>
    <mergeCell ref="AL78:AL80"/>
    <mergeCell ref="AM78:AM80"/>
    <mergeCell ref="AN78:AN80"/>
    <mergeCell ref="AO78:AO80"/>
    <mergeCell ref="AP78:AP80"/>
    <mergeCell ref="BN78:BN80"/>
    <mergeCell ref="DB75:DB77"/>
    <mergeCell ref="BS75:BS77"/>
    <mergeCell ref="BU75:BU77"/>
    <mergeCell ref="DY75:DY77"/>
    <mergeCell ref="J78:J80"/>
    <mergeCell ref="K78:K80"/>
    <mergeCell ref="L78:L80"/>
    <mergeCell ref="M78:M80"/>
    <mergeCell ref="N78:N80"/>
    <mergeCell ref="O78:O80"/>
    <mergeCell ref="DQ75:DQ77"/>
    <mergeCell ref="DR75:DR77"/>
    <mergeCell ref="DT75:DT77"/>
    <mergeCell ref="DU75:DU77"/>
    <mergeCell ref="DV75:DV77"/>
    <mergeCell ref="DW75:DW77"/>
    <mergeCell ref="DJ75:DJ77"/>
    <mergeCell ref="DL75:DL77"/>
    <mergeCell ref="DM75:DM77"/>
    <mergeCell ref="DN75:DN77"/>
    <mergeCell ref="DO75:DO77"/>
    <mergeCell ref="DP75:DP77"/>
    <mergeCell ref="DD75:DD77"/>
    <mergeCell ref="DE75:DE77"/>
    <mergeCell ref="DF75:DF77"/>
    <mergeCell ref="DG75:DG77"/>
    <mergeCell ref="DH75:DH77"/>
    <mergeCell ref="DI75:DI77"/>
    <mergeCell ref="CX75:CX77"/>
    <mergeCell ref="CY75:CY77"/>
    <mergeCell ref="CZ75:CZ77"/>
    <mergeCell ref="DA75:DA77"/>
    <mergeCell ref="BZ75:BZ77"/>
    <mergeCell ref="CA75:CA77"/>
    <mergeCell ref="BC75:BC77"/>
    <mergeCell ref="CB75:CB77"/>
    <mergeCell ref="CC75:CC77"/>
    <mergeCell ref="BO75:BO77"/>
    <mergeCell ref="BP75:BP77"/>
    <mergeCell ref="BQ75:BQ77"/>
    <mergeCell ref="BR75:BR77"/>
    <mergeCell ref="BT75:BT77"/>
    <mergeCell ref="BV75:BV77"/>
    <mergeCell ref="BI75:BI77"/>
    <mergeCell ref="BJ75:BJ77"/>
    <mergeCell ref="BK75:BK77"/>
    <mergeCell ref="BL75:BL77"/>
    <mergeCell ref="BM75:BM77"/>
    <mergeCell ref="BN75:BN77"/>
    <mergeCell ref="BF75:BF77"/>
    <mergeCell ref="BG75:BG77"/>
    <mergeCell ref="BH75:BH77"/>
    <mergeCell ref="AX75:AX77"/>
    <mergeCell ref="AY75:AY77"/>
    <mergeCell ref="AZ75:AZ77"/>
    <mergeCell ref="BA75:BA77"/>
    <mergeCell ref="AO75:AO77"/>
    <mergeCell ref="AP75:AP77"/>
    <mergeCell ref="AQ75:AQ77"/>
    <mergeCell ref="AR75:AR77"/>
    <mergeCell ref="AS75:AS77"/>
    <mergeCell ref="AT75:AT77"/>
    <mergeCell ref="BW75:BW77"/>
    <mergeCell ref="BX75:BX77"/>
    <mergeCell ref="AN75:AN77"/>
    <mergeCell ref="AC75:AC77"/>
    <mergeCell ref="AD75:AD77"/>
    <mergeCell ref="AE75:AE77"/>
    <mergeCell ref="AF75:AF77"/>
    <mergeCell ref="AG75:AG77"/>
    <mergeCell ref="W75:W77"/>
    <mergeCell ref="X75:X77"/>
    <mergeCell ref="Y75:Y77"/>
    <mergeCell ref="AA75:AA77"/>
    <mergeCell ref="AB75:AB77"/>
    <mergeCell ref="BB75:BB77"/>
    <mergeCell ref="BD75:BD77"/>
    <mergeCell ref="BE75:BE77"/>
    <mergeCell ref="T75:T77"/>
    <mergeCell ref="U75:U77"/>
    <mergeCell ref="V75:V77"/>
    <mergeCell ref="BQ62:BQ64"/>
    <mergeCell ref="BR62:BR64"/>
    <mergeCell ref="M75:M77"/>
    <mergeCell ref="DT62:DT64"/>
    <mergeCell ref="DU62:DU64"/>
    <mergeCell ref="DV62:DV64"/>
    <mergeCell ref="BY62:BY64"/>
    <mergeCell ref="CW62:CW64"/>
    <mergeCell ref="CI62:CI64"/>
    <mergeCell ref="CB62:CB64"/>
    <mergeCell ref="CC62:CC64"/>
    <mergeCell ref="CD62:CD64"/>
    <mergeCell ref="CE62:CE64"/>
    <mergeCell ref="BT62:BT64"/>
    <mergeCell ref="BV62:BV64"/>
    <mergeCell ref="BW62:BW64"/>
    <mergeCell ref="BX62:BX64"/>
    <mergeCell ref="BK62:BK64"/>
    <mergeCell ref="BL62:BL64"/>
    <mergeCell ref="BM62:BM64"/>
    <mergeCell ref="BN62:BN64"/>
    <mergeCell ref="CS62:CS64"/>
    <mergeCell ref="CT62:CT64"/>
    <mergeCell ref="CU62:CU64"/>
    <mergeCell ref="CV62:CV64"/>
    <mergeCell ref="CX62:CX64"/>
    <mergeCell ref="CY62:CY64"/>
    <mergeCell ref="CM62:CM64"/>
    <mergeCell ref="CO62:CO64"/>
    <mergeCell ref="CP62:CP64"/>
    <mergeCell ref="CQ62:CQ64"/>
    <mergeCell ref="CR62:CR64"/>
    <mergeCell ref="CF62:CF64"/>
    <mergeCell ref="CG62:CG64"/>
    <mergeCell ref="CH62:CH64"/>
    <mergeCell ref="AI75:AI77"/>
    <mergeCell ref="AJ75:AJ77"/>
    <mergeCell ref="AK75:AK77"/>
    <mergeCell ref="AL75:AL77"/>
    <mergeCell ref="CJ62:CJ64"/>
    <mergeCell ref="CK62:CK64"/>
    <mergeCell ref="CL62:CL64"/>
    <mergeCell ref="BZ62:BZ64"/>
    <mergeCell ref="CA62:CA64"/>
    <mergeCell ref="AM75:AM77"/>
    <mergeCell ref="AV62:AV64"/>
    <mergeCell ref="AW62:AW64"/>
    <mergeCell ref="BO62:BO64"/>
    <mergeCell ref="BP62:BP64"/>
    <mergeCell ref="BS62:BS64"/>
    <mergeCell ref="BU62:BU64"/>
    <mergeCell ref="AV75:AV77"/>
    <mergeCell ref="AW75:AW77"/>
    <mergeCell ref="DY62:DY64"/>
    <mergeCell ref="DM62:DM64"/>
    <mergeCell ref="DN62:DN64"/>
    <mergeCell ref="DO62:DO64"/>
    <mergeCell ref="DP62:DP64"/>
    <mergeCell ref="DQ62:DQ64"/>
    <mergeCell ref="DR62:DR64"/>
    <mergeCell ref="DF62:DF64"/>
    <mergeCell ref="DG62:DG64"/>
    <mergeCell ref="DH62:DH64"/>
    <mergeCell ref="DI62:DI64"/>
    <mergeCell ref="DJ62:DJ64"/>
    <mergeCell ref="DL62:DL64"/>
    <mergeCell ref="CZ62:CZ64"/>
    <mergeCell ref="DA62:DA64"/>
    <mergeCell ref="DB62:DB64"/>
    <mergeCell ref="DD62:DD64"/>
    <mergeCell ref="DE62:DE64"/>
    <mergeCell ref="DS62:DS64"/>
    <mergeCell ref="DW62:DW64"/>
    <mergeCell ref="DX62:DX64"/>
    <mergeCell ref="AE62:AE64"/>
    <mergeCell ref="AF62:AF64"/>
    <mergeCell ref="AG62:AG64"/>
    <mergeCell ref="AI62:AI64"/>
    <mergeCell ref="AJ62:AJ64"/>
    <mergeCell ref="BF62:BF64"/>
    <mergeCell ref="BG62:BG64"/>
    <mergeCell ref="BH62:BH64"/>
    <mergeCell ref="BI62:BI64"/>
    <mergeCell ref="BJ62:BJ64"/>
    <mergeCell ref="AX62:AX64"/>
    <mergeCell ref="AY62:AY64"/>
    <mergeCell ref="AZ62:AZ64"/>
    <mergeCell ref="BA62:BA64"/>
    <mergeCell ref="BB62:BB64"/>
    <mergeCell ref="BD62:BD64"/>
    <mergeCell ref="AQ62:AQ64"/>
    <mergeCell ref="AR62:AR64"/>
    <mergeCell ref="AS62:AS64"/>
    <mergeCell ref="AT62:AT64"/>
    <mergeCell ref="AU62:AU64"/>
    <mergeCell ref="X62:X64"/>
    <mergeCell ref="Y62:Y64"/>
    <mergeCell ref="AA62:AA64"/>
    <mergeCell ref="AB62:AB64"/>
    <mergeCell ref="AC62:AC64"/>
    <mergeCell ref="AD62:AD64"/>
    <mergeCell ref="BE62:BE64"/>
    <mergeCell ref="T62:T64"/>
    <mergeCell ref="U62:U64"/>
    <mergeCell ref="V62:V64"/>
    <mergeCell ref="W62:W64"/>
    <mergeCell ref="BC62:BC64"/>
    <mergeCell ref="DX59:DX61"/>
    <mergeCell ref="DY59:DY61"/>
    <mergeCell ref="J62:J64"/>
    <mergeCell ref="K62:K64"/>
    <mergeCell ref="L62:L64"/>
    <mergeCell ref="M62:M64"/>
    <mergeCell ref="N62:N64"/>
    <mergeCell ref="O62:O64"/>
    <mergeCell ref="DQ59:DQ61"/>
    <mergeCell ref="DR59:DR61"/>
    <mergeCell ref="DT59:DT61"/>
    <mergeCell ref="DU59:DU61"/>
    <mergeCell ref="DV59:DV61"/>
    <mergeCell ref="DW59:DW61"/>
    <mergeCell ref="DJ59:DJ61"/>
    <mergeCell ref="DL59:DL61"/>
    <mergeCell ref="DM59:DM61"/>
    <mergeCell ref="DN59:DN61"/>
    <mergeCell ref="DO59:DO61"/>
    <mergeCell ref="DP59:DP61"/>
    <mergeCell ref="DD59:DD61"/>
    <mergeCell ref="DE59:DE61"/>
    <mergeCell ref="DF59:DF61"/>
    <mergeCell ref="DG59:DG61"/>
    <mergeCell ref="AK62:AK64"/>
    <mergeCell ref="AL62:AL64"/>
    <mergeCell ref="DH59:DH61"/>
    <mergeCell ref="DI59:DI61"/>
    <mergeCell ref="CX59:CX61"/>
    <mergeCell ref="CY59:CY61"/>
    <mergeCell ref="CZ59:CZ61"/>
    <mergeCell ref="DA59:DA61"/>
    <mergeCell ref="BV59:BV61"/>
    <mergeCell ref="BS59:BS61"/>
    <mergeCell ref="BU59:BU61"/>
    <mergeCell ref="BY59:BY61"/>
    <mergeCell ref="CI59:CI61"/>
    <mergeCell ref="BI59:BI61"/>
    <mergeCell ref="BJ59:BJ61"/>
    <mergeCell ref="BK59:BK61"/>
    <mergeCell ref="BL59:BL61"/>
    <mergeCell ref="BM59:BM61"/>
    <mergeCell ref="BN59:BN61"/>
    <mergeCell ref="DB59:DB61"/>
    <mergeCell ref="CQ59:CQ61"/>
    <mergeCell ref="CR59:CR61"/>
    <mergeCell ref="CS59:CS61"/>
    <mergeCell ref="CT59:CT61"/>
    <mergeCell ref="CU59:CU61"/>
    <mergeCell ref="CV59:CV61"/>
    <mergeCell ref="CK59:CK61"/>
    <mergeCell ref="CL59:CL61"/>
    <mergeCell ref="CM59:CM61"/>
    <mergeCell ref="CO59:CO61"/>
    <mergeCell ref="CP59:CP61"/>
    <mergeCell ref="CD59:CD61"/>
    <mergeCell ref="CE59:CE61"/>
    <mergeCell ref="CF59:CF61"/>
    <mergeCell ref="CG59:CG61"/>
    <mergeCell ref="CH59:CH61"/>
    <mergeCell ref="CJ59:CJ61"/>
    <mergeCell ref="W59:W61"/>
    <mergeCell ref="X59:X61"/>
    <mergeCell ref="Y59:Y61"/>
    <mergeCell ref="AA59:AA61"/>
    <mergeCell ref="AB59:AB61"/>
    <mergeCell ref="N59:N61"/>
    <mergeCell ref="O59:O61"/>
    <mergeCell ref="Q59:Q61"/>
    <mergeCell ref="T59:T61"/>
    <mergeCell ref="U59:U61"/>
    <mergeCell ref="V59:V61"/>
    <mergeCell ref="BB59:BB61"/>
    <mergeCell ref="BD59:BD61"/>
    <mergeCell ref="BE59:BE61"/>
    <mergeCell ref="BF59:BF61"/>
    <mergeCell ref="BG59:BG61"/>
    <mergeCell ref="BH59:BH61"/>
    <mergeCell ref="AV59:AV61"/>
    <mergeCell ref="AW59:AW61"/>
    <mergeCell ref="AX59:AX61"/>
    <mergeCell ref="AY59:AY61"/>
    <mergeCell ref="AZ59:AZ61"/>
    <mergeCell ref="BA59:BA61"/>
    <mergeCell ref="BL56:BL58"/>
    <mergeCell ref="BM56:BM58"/>
    <mergeCell ref="BN56:BN58"/>
    <mergeCell ref="BO56:BO58"/>
    <mergeCell ref="BP56:BP58"/>
    <mergeCell ref="BE56:BE58"/>
    <mergeCell ref="BF56:BF58"/>
    <mergeCell ref="BG56:BG58"/>
    <mergeCell ref="BH56:BH58"/>
    <mergeCell ref="BI56:BI58"/>
    <mergeCell ref="BJ56:BJ58"/>
    <mergeCell ref="CY56:CY58"/>
    <mergeCell ref="CM56:CM58"/>
    <mergeCell ref="CO56:CO58"/>
    <mergeCell ref="CP56:CP58"/>
    <mergeCell ref="CQ56:CQ58"/>
    <mergeCell ref="CR56:CR58"/>
    <mergeCell ref="CF56:CF58"/>
    <mergeCell ref="CG56:CG58"/>
    <mergeCell ref="CH56:CH58"/>
    <mergeCell ref="CJ56:CJ58"/>
    <mergeCell ref="CK56:CK58"/>
    <mergeCell ref="BX56:BX58"/>
    <mergeCell ref="CI56:CI58"/>
    <mergeCell ref="BK56:BK58"/>
    <mergeCell ref="BW56:BW58"/>
    <mergeCell ref="BS56:BS58"/>
    <mergeCell ref="BY56:BY58"/>
    <mergeCell ref="BU56:BU58"/>
    <mergeCell ref="AC59:AC61"/>
    <mergeCell ref="AD59:AD61"/>
    <mergeCell ref="AE59:AE61"/>
    <mergeCell ref="AF59:AF61"/>
    <mergeCell ref="AG59:AG61"/>
    <mergeCell ref="BW59:BW61"/>
    <mergeCell ref="BX59:BX61"/>
    <mergeCell ref="BZ59:BZ61"/>
    <mergeCell ref="CA59:CA61"/>
    <mergeCell ref="CB59:CB61"/>
    <mergeCell ref="CC59:CC61"/>
    <mergeCell ref="BO59:BO61"/>
    <mergeCell ref="BP59:BP61"/>
    <mergeCell ref="BQ59:BQ61"/>
    <mergeCell ref="BR59:BR61"/>
    <mergeCell ref="BT59:BT61"/>
    <mergeCell ref="AO59:AO61"/>
    <mergeCell ref="AP59:AP61"/>
    <mergeCell ref="AQ59:AQ61"/>
    <mergeCell ref="AR59:AR61"/>
    <mergeCell ref="AS59:AS61"/>
    <mergeCell ref="AT59:AT61"/>
    <mergeCell ref="BC59:BC61"/>
    <mergeCell ref="DT56:DT58"/>
    <mergeCell ref="DU56:DU58"/>
    <mergeCell ref="DV56:DV58"/>
    <mergeCell ref="DW56:DW58"/>
    <mergeCell ref="DX56:DX58"/>
    <mergeCell ref="DY56:DY58"/>
    <mergeCell ref="DM56:DM58"/>
    <mergeCell ref="DN56:DN58"/>
    <mergeCell ref="DO56:DO58"/>
    <mergeCell ref="DP56:DP58"/>
    <mergeCell ref="DQ56:DQ58"/>
    <mergeCell ref="DR56:DR58"/>
    <mergeCell ref="DF56:DF58"/>
    <mergeCell ref="DG56:DG58"/>
    <mergeCell ref="DH56:DH58"/>
    <mergeCell ref="DI56:DI58"/>
    <mergeCell ref="DJ56:DJ58"/>
    <mergeCell ref="DL56:DL58"/>
    <mergeCell ref="DS56:DS58"/>
    <mergeCell ref="T56:T58"/>
    <mergeCell ref="U56:U58"/>
    <mergeCell ref="V56:V58"/>
    <mergeCell ref="W56:W58"/>
    <mergeCell ref="AR56:AR58"/>
    <mergeCell ref="AS56:AS58"/>
    <mergeCell ref="AT56:AT58"/>
    <mergeCell ref="AV56:AV58"/>
    <mergeCell ref="AW56:AW58"/>
    <mergeCell ref="AK56:AK58"/>
    <mergeCell ref="AE56:AE58"/>
    <mergeCell ref="AF56:AF58"/>
    <mergeCell ref="AG56:AG58"/>
    <mergeCell ref="AI56:AI58"/>
    <mergeCell ref="AJ56:AJ58"/>
    <mergeCell ref="X56:X58"/>
    <mergeCell ref="Y56:Y58"/>
    <mergeCell ref="AA56:AA58"/>
    <mergeCell ref="AB56:AB58"/>
    <mergeCell ref="AC56:AC58"/>
    <mergeCell ref="AD56:AD58"/>
    <mergeCell ref="AL56:AL58"/>
    <mergeCell ref="AM56:AM58"/>
    <mergeCell ref="AN56:AN58"/>
    <mergeCell ref="AO56:AO58"/>
    <mergeCell ref="AY56:AY58"/>
    <mergeCell ref="AZ56:AZ58"/>
    <mergeCell ref="BA56:BA58"/>
    <mergeCell ref="BB56:BB58"/>
    <mergeCell ref="BD56:BD58"/>
    <mergeCell ref="DH40:DH42"/>
    <mergeCell ref="DI40:DI42"/>
    <mergeCell ref="CX40:CX42"/>
    <mergeCell ref="CY40:CY42"/>
    <mergeCell ref="CZ40:CZ42"/>
    <mergeCell ref="DA40:DA42"/>
    <mergeCell ref="DB40:DB42"/>
    <mergeCell ref="CQ40:CQ42"/>
    <mergeCell ref="BO40:BO42"/>
    <mergeCell ref="BP40:BP42"/>
    <mergeCell ref="CL56:CL58"/>
    <mergeCell ref="BZ56:BZ58"/>
    <mergeCell ref="CA56:CA58"/>
    <mergeCell ref="CB56:CB58"/>
    <mergeCell ref="CC56:CC58"/>
    <mergeCell ref="CD56:CD58"/>
    <mergeCell ref="CE56:CE58"/>
    <mergeCell ref="CZ56:CZ58"/>
    <mergeCell ref="DA56:DA58"/>
    <mergeCell ref="DB56:DB58"/>
    <mergeCell ref="DD56:DD58"/>
    <mergeCell ref="DE56:DE58"/>
    <mergeCell ref="CS56:CS58"/>
    <mergeCell ref="CT56:CT58"/>
    <mergeCell ref="CU56:CU58"/>
    <mergeCell ref="CV56:CV58"/>
    <mergeCell ref="CX56:CX58"/>
    <mergeCell ref="BM40:BM42"/>
    <mergeCell ref="BN40:BN42"/>
    <mergeCell ref="BB40:BB42"/>
    <mergeCell ref="BD40:BD42"/>
    <mergeCell ref="BE40:BE42"/>
    <mergeCell ref="BF40:BF42"/>
    <mergeCell ref="BG40:BG42"/>
    <mergeCell ref="BH40:BH42"/>
    <mergeCell ref="AS40:AS42"/>
    <mergeCell ref="AT40:AT42"/>
    <mergeCell ref="AZ40:AZ42"/>
    <mergeCell ref="BA40:BA42"/>
    <mergeCell ref="DX40:DX42"/>
    <mergeCell ref="CR40:CR42"/>
    <mergeCell ref="CS40:CS42"/>
    <mergeCell ref="CT40:CT42"/>
    <mergeCell ref="CU40:CU42"/>
    <mergeCell ref="CV40:CV42"/>
    <mergeCell ref="CL40:CL42"/>
    <mergeCell ref="CM40:CM42"/>
    <mergeCell ref="CO40:CO42"/>
    <mergeCell ref="CP40:CP42"/>
    <mergeCell ref="CD40:CD42"/>
    <mergeCell ref="CE40:CE42"/>
    <mergeCell ref="CF40:CF42"/>
    <mergeCell ref="CG40:CG42"/>
    <mergeCell ref="CH40:CH42"/>
    <mergeCell ref="CJ40:CJ42"/>
    <mergeCell ref="CB40:CB42"/>
    <mergeCell ref="CC40:CC42"/>
    <mergeCell ref="BQ40:BQ42"/>
    <mergeCell ref="BR40:BR42"/>
    <mergeCell ref="AX56:AX58"/>
    <mergeCell ref="DY40:DY42"/>
    <mergeCell ref="J56:J58"/>
    <mergeCell ref="K56:K58"/>
    <mergeCell ref="L56:L58"/>
    <mergeCell ref="M56:M58"/>
    <mergeCell ref="N56:N58"/>
    <mergeCell ref="O56:O58"/>
    <mergeCell ref="DQ40:DQ42"/>
    <mergeCell ref="DR40:DR42"/>
    <mergeCell ref="DT40:DT42"/>
    <mergeCell ref="DU40:DU42"/>
    <mergeCell ref="DV40:DV42"/>
    <mergeCell ref="DW40:DW42"/>
    <mergeCell ref="DJ40:DJ42"/>
    <mergeCell ref="DL40:DL42"/>
    <mergeCell ref="DM40:DM42"/>
    <mergeCell ref="DN40:DN42"/>
    <mergeCell ref="AQ56:AQ58"/>
    <mergeCell ref="DO40:DO42"/>
    <mergeCell ref="DP40:DP42"/>
    <mergeCell ref="DD40:DD42"/>
    <mergeCell ref="DE40:DE42"/>
    <mergeCell ref="DF40:DF42"/>
    <mergeCell ref="DG40:DG42"/>
    <mergeCell ref="CK40:CK42"/>
    <mergeCell ref="AY40:AY42"/>
    <mergeCell ref="AP56:AP58"/>
    <mergeCell ref="BQ56:BQ58"/>
    <mergeCell ref="BR56:BR58"/>
    <mergeCell ref="BT56:BT58"/>
    <mergeCell ref="BV56:BV58"/>
    <mergeCell ref="BK40:BK42"/>
    <mergeCell ref="BL40:BL42"/>
    <mergeCell ref="AF40:AF42"/>
    <mergeCell ref="AG40:AG42"/>
    <mergeCell ref="W40:W42"/>
    <mergeCell ref="X40:X42"/>
    <mergeCell ref="Y40:Y42"/>
    <mergeCell ref="AA40:AA42"/>
    <mergeCell ref="AB40:AB42"/>
    <mergeCell ref="AC40:AC42"/>
    <mergeCell ref="AD40:AD42"/>
    <mergeCell ref="AE40:AE42"/>
    <mergeCell ref="AI40:AI42"/>
    <mergeCell ref="AJ40:AJ42"/>
    <mergeCell ref="AK40:AK42"/>
    <mergeCell ref="AL40:AL42"/>
    <mergeCell ref="AM40:AM42"/>
    <mergeCell ref="AN40:AN42"/>
    <mergeCell ref="N40:N42"/>
    <mergeCell ref="O40:O42"/>
    <mergeCell ref="Q40:Q42"/>
    <mergeCell ref="T40:T42"/>
    <mergeCell ref="U40:U42"/>
    <mergeCell ref="V40:V42"/>
    <mergeCell ref="AV40:AV42"/>
    <mergeCell ref="AW40:AW42"/>
    <mergeCell ref="AX40:AX42"/>
    <mergeCell ref="L40:L42"/>
    <mergeCell ref="M40:M42"/>
    <mergeCell ref="DT37:DT39"/>
    <mergeCell ref="DU37:DU39"/>
    <mergeCell ref="DV37:DV39"/>
    <mergeCell ref="DW37:DW39"/>
    <mergeCell ref="DX37:DX39"/>
    <mergeCell ref="DY37:DY39"/>
    <mergeCell ref="DM37:DM39"/>
    <mergeCell ref="DN37:DN39"/>
    <mergeCell ref="DO37:DO39"/>
    <mergeCell ref="DP37:DP39"/>
    <mergeCell ref="DQ37:DQ39"/>
    <mergeCell ref="DR37:DR39"/>
    <mergeCell ref="DF37:DF39"/>
    <mergeCell ref="DG37:DG39"/>
    <mergeCell ref="DH37:DH39"/>
    <mergeCell ref="DI37:DI39"/>
    <mergeCell ref="DJ37:DJ39"/>
    <mergeCell ref="DL37:DL39"/>
    <mergeCell ref="CZ37:CZ39"/>
    <mergeCell ref="DA37:DA39"/>
    <mergeCell ref="DB37:DB39"/>
    <mergeCell ref="CU37:CU39"/>
    <mergeCell ref="CV37:CV39"/>
    <mergeCell ref="CX37:CX39"/>
    <mergeCell ref="CY37:CY39"/>
    <mergeCell ref="CM37:CM39"/>
    <mergeCell ref="CO37:CO39"/>
    <mergeCell ref="CP37:CP39"/>
    <mergeCell ref="CQ37:CQ39"/>
    <mergeCell ref="CR37:CR39"/>
    <mergeCell ref="CF37:CF39"/>
    <mergeCell ref="CG37:CG39"/>
    <mergeCell ref="CH37:CH39"/>
    <mergeCell ref="CJ37:CJ39"/>
    <mergeCell ref="CK37:CK39"/>
    <mergeCell ref="CL37:CL39"/>
    <mergeCell ref="BZ37:BZ39"/>
    <mergeCell ref="CA37:CA39"/>
    <mergeCell ref="CB37:CB39"/>
    <mergeCell ref="CC37:CC39"/>
    <mergeCell ref="CD37:CD39"/>
    <mergeCell ref="CE37:CE39"/>
    <mergeCell ref="BQ37:BQ39"/>
    <mergeCell ref="BR37:BR39"/>
    <mergeCell ref="BT37:BT39"/>
    <mergeCell ref="BV37:BV39"/>
    <mergeCell ref="BW40:BW42"/>
    <mergeCell ref="BX40:BX42"/>
    <mergeCell ref="BZ40:BZ42"/>
    <mergeCell ref="CA40:CA42"/>
    <mergeCell ref="BP37:BP39"/>
    <mergeCell ref="BE37:BE39"/>
    <mergeCell ref="BF37:BF39"/>
    <mergeCell ref="BG37:BG39"/>
    <mergeCell ref="BH37:BH39"/>
    <mergeCell ref="BI37:BI39"/>
    <mergeCell ref="BJ37:BJ39"/>
    <mergeCell ref="X37:X39"/>
    <mergeCell ref="Y37:Y39"/>
    <mergeCell ref="AA37:AA39"/>
    <mergeCell ref="AB37:AB39"/>
    <mergeCell ref="AC37:AC39"/>
    <mergeCell ref="AD37:AD39"/>
    <mergeCell ref="BL37:BL39"/>
    <mergeCell ref="BM37:BM39"/>
    <mergeCell ref="BN37:BN39"/>
    <mergeCell ref="BO37:BO39"/>
    <mergeCell ref="AO40:AO42"/>
    <mergeCell ref="AP40:AP42"/>
    <mergeCell ref="AQ40:AQ42"/>
    <mergeCell ref="AR40:AR42"/>
    <mergeCell ref="BV40:BV42"/>
    <mergeCell ref="BI40:BI42"/>
    <mergeCell ref="BJ40:BJ42"/>
    <mergeCell ref="DD37:DD39"/>
    <mergeCell ref="DE37:DE39"/>
    <mergeCell ref="CS37:CS39"/>
    <mergeCell ref="CT37:CT39"/>
    <mergeCell ref="Q37:Q39"/>
    <mergeCell ref="T37:T39"/>
    <mergeCell ref="U37:U39"/>
    <mergeCell ref="V37:V39"/>
    <mergeCell ref="W37:W39"/>
    <mergeCell ref="DX34:DX36"/>
    <mergeCell ref="CS34:CS36"/>
    <mergeCell ref="CT34:CT36"/>
    <mergeCell ref="CU34:CU36"/>
    <mergeCell ref="CV34:CV36"/>
    <mergeCell ref="CK34:CK36"/>
    <mergeCell ref="CL34:CL36"/>
    <mergeCell ref="CM34:CM36"/>
    <mergeCell ref="CO34:CO36"/>
    <mergeCell ref="CP34:CP36"/>
    <mergeCell ref="CD34:CD36"/>
    <mergeCell ref="CE34:CE36"/>
    <mergeCell ref="CF34:CF36"/>
    <mergeCell ref="CG34:CG36"/>
    <mergeCell ref="CH34:CH36"/>
    <mergeCell ref="CJ34:CJ36"/>
    <mergeCell ref="AX37:AX39"/>
    <mergeCell ref="AY37:AY39"/>
    <mergeCell ref="AZ37:AZ39"/>
    <mergeCell ref="BA37:BA39"/>
    <mergeCell ref="BB37:BB39"/>
    <mergeCell ref="DP34:DP36"/>
    <mergeCell ref="DD34:DD36"/>
    <mergeCell ref="DE34:DE36"/>
    <mergeCell ref="DF34:DF36"/>
    <mergeCell ref="DG34:DG36"/>
    <mergeCell ref="DH34:DH36"/>
    <mergeCell ref="CR34:CR36"/>
    <mergeCell ref="AE37:AE39"/>
    <mergeCell ref="AF37:AF39"/>
    <mergeCell ref="AG37:AG39"/>
    <mergeCell ref="AI37:AI39"/>
    <mergeCell ref="AJ37:AJ39"/>
    <mergeCell ref="BD37:BD39"/>
    <mergeCell ref="AQ37:AQ39"/>
    <mergeCell ref="AR37:AR39"/>
    <mergeCell ref="AS37:AS39"/>
    <mergeCell ref="AT37:AT39"/>
    <mergeCell ref="AV37:AV39"/>
    <mergeCell ref="AW37:AW39"/>
    <mergeCell ref="AK37:AK39"/>
    <mergeCell ref="AL37:AL39"/>
    <mergeCell ref="AM37:AM39"/>
    <mergeCell ref="AN37:AN39"/>
    <mergeCell ref="AO37:AO39"/>
    <mergeCell ref="AP37:AP39"/>
    <mergeCell ref="CB34:CB36"/>
    <mergeCell ref="CC34:CC36"/>
    <mergeCell ref="BO34:BO36"/>
    <mergeCell ref="BP34:BP36"/>
    <mergeCell ref="BQ34:BQ36"/>
    <mergeCell ref="BR34:BR36"/>
    <mergeCell ref="BW37:BW39"/>
    <mergeCell ref="BX37:BX39"/>
    <mergeCell ref="BK37:BK39"/>
    <mergeCell ref="BN34:BN36"/>
    <mergeCell ref="DY34:DY36"/>
    <mergeCell ref="J37:J39"/>
    <mergeCell ref="K37:K39"/>
    <mergeCell ref="L37:L39"/>
    <mergeCell ref="M37:M39"/>
    <mergeCell ref="N37:N39"/>
    <mergeCell ref="O37:O39"/>
    <mergeCell ref="DQ34:DQ36"/>
    <mergeCell ref="DR34:DR36"/>
    <mergeCell ref="DT34:DT36"/>
    <mergeCell ref="DU34:DU36"/>
    <mergeCell ref="DV34:DV36"/>
    <mergeCell ref="DW34:DW36"/>
    <mergeCell ref="DJ34:DJ36"/>
    <mergeCell ref="DL34:DL36"/>
    <mergeCell ref="DM34:DM36"/>
    <mergeCell ref="DN34:DN36"/>
    <mergeCell ref="DO34:DO36"/>
    <mergeCell ref="BH34:BH36"/>
    <mergeCell ref="AV34:AV36"/>
    <mergeCell ref="AW34:AW36"/>
    <mergeCell ref="AX34:AX36"/>
    <mergeCell ref="AY34:AY36"/>
    <mergeCell ref="AZ34:AZ36"/>
    <mergeCell ref="DI34:DI36"/>
    <mergeCell ref="CX34:CX36"/>
    <mergeCell ref="CY34:CY36"/>
    <mergeCell ref="CZ34:CZ36"/>
    <mergeCell ref="DA34:DA36"/>
    <mergeCell ref="DB34:DB36"/>
    <mergeCell ref="CQ34:CQ36"/>
    <mergeCell ref="AQ34:AQ36"/>
    <mergeCell ref="AR34:AR36"/>
    <mergeCell ref="AS34:AS36"/>
    <mergeCell ref="AT34:AT36"/>
    <mergeCell ref="BW34:BW36"/>
    <mergeCell ref="BX34:BX36"/>
    <mergeCell ref="BZ34:BZ36"/>
    <mergeCell ref="CA34:CA36"/>
    <mergeCell ref="AC34:AC36"/>
    <mergeCell ref="AD34:AD36"/>
    <mergeCell ref="AE34:AE36"/>
    <mergeCell ref="AF34:AF36"/>
    <mergeCell ref="AG34:AG36"/>
    <mergeCell ref="W34:W36"/>
    <mergeCell ref="X34:X36"/>
    <mergeCell ref="Y34:Y36"/>
    <mergeCell ref="AA34:AA36"/>
    <mergeCell ref="AB34:AB36"/>
    <mergeCell ref="AL34:AL36"/>
    <mergeCell ref="AM34:AM36"/>
    <mergeCell ref="AN34:AN36"/>
    <mergeCell ref="BD34:BD36"/>
    <mergeCell ref="BE34:BE36"/>
    <mergeCell ref="BF34:BF36"/>
    <mergeCell ref="BG34:BG36"/>
    <mergeCell ref="BT34:BT36"/>
    <mergeCell ref="BV34:BV36"/>
    <mergeCell ref="BI34:BI36"/>
    <mergeCell ref="BJ34:BJ36"/>
    <mergeCell ref="BK34:BK36"/>
    <mergeCell ref="BL34:BL36"/>
    <mergeCell ref="BM34:BM36"/>
    <mergeCell ref="T34:T36"/>
    <mergeCell ref="U34:U36"/>
    <mergeCell ref="V34:V36"/>
    <mergeCell ref="BB34:BB36"/>
    <mergeCell ref="CS24:CS26"/>
    <mergeCell ref="CT24:CT26"/>
    <mergeCell ref="CU24:CU26"/>
    <mergeCell ref="CV24:CV26"/>
    <mergeCell ref="CX24:CX26"/>
    <mergeCell ref="CY24:CY26"/>
    <mergeCell ref="CM24:CM26"/>
    <mergeCell ref="CO24:CO26"/>
    <mergeCell ref="CP24:CP26"/>
    <mergeCell ref="CQ24:CQ26"/>
    <mergeCell ref="CR24:CR26"/>
    <mergeCell ref="CF24:CF26"/>
    <mergeCell ref="CG24:CG26"/>
    <mergeCell ref="CH24:CH26"/>
    <mergeCell ref="AI34:AI36"/>
    <mergeCell ref="CJ24:CJ26"/>
    <mergeCell ref="CK24:CK26"/>
    <mergeCell ref="CL24:CL26"/>
    <mergeCell ref="BZ24:BZ26"/>
    <mergeCell ref="CA24:CA26"/>
    <mergeCell ref="CB24:CB26"/>
    <mergeCell ref="CC24:CC26"/>
    <mergeCell ref="CD24:CD26"/>
    <mergeCell ref="AJ34:AJ36"/>
    <mergeCell ref="AK34:AK36"/>
    <mergeCell ref="BA34:BA36"/>
    <mergeCell ref="AO34:AO36"/>
    <mergeCell ref="AP34:AP36"/>
    <mergeCell ref="DY24:DY26"/>
    <mergeCell ref="DM24:DM26"/>
    <mergeCell ref="DN24:DN26"/>
    <mergeCell ref="DO24:DO26"/>
    <mergeCell ref="DP24:DP26"/>
    <mergeCell ref="DQ24:DQ26"/>
    <mergeCell ref="DR24:DR26"/>
    <mergeCell ref="DF24:DF26"/>
    <mergeCell ref="DG24:DG26"/>
    <mergeCell ref="DH24:DH26"/>
    <mergeCell ref="DI24:DI26"/>
    <mergeCell ref="DJ24:DJ26"/>
    <mergeCell ref="DL24:DL26"/>
    <mergeCell ref="CZ24:CZ26"/>
    <mergeCell ref="DA24:DA26"/>
    <mergeCell ref="DB24:DB26"/>
    <mergeCell ref="DD24:DD26"/>
    <mergeCell ref="DE24:DE26"/>
    <mergeCell ref="DT24:DT26"/>
    <mergeCell ref="DU24:DU26"/>
    <mergeCell ref="DV24:DV26"/>
    <mergeCell ref="DW24:DW26"/>
    <mergeCell ref="DX24:DX26"/>
    <mergeCell ref="CE24:CE26"/>
    <mergeCell ref="BQ24:BQ26"/>
    <mergeCell ref="BR24:BR26"/>
    <mergeCell ref="BT24:BT26"/>
    <mergeCell ref="BV24:BV26"/>
    <mergeCell ref="BW24:BW26"/>
    <mergeCell ref="BX24:BX26"/>
    <mergeCell ref="BK24:BK26"/>
    <mergeCell ref="BL24:BL26"/>
    <mergeCell ref="BM24:BM26"/>
    <mergeCell ref="BN24:BN26"/>
    <mergeCell ref="BO24:BO26"/>
    <mergeCell ref="BP24:BP26"/>
    <mergeCell ref="BE24:BE26"/>
    <mergeCell ref="BF24:BF26"/>
    <mergeCell ref="BG24:BG26"/>
    <mergeCell ref="BH24:BH26"/>
    <mergeCell ref="BI24:BI26"/>
    <mergeCell ref="BJ24:BJ26"/>
    <mergeCell ref="BS24:BS26"/>
    <mergeCell ref="AX24:AX26"/>
    <mergeCell ref="AY24:AY26"/>
    <mergeCell ref="AZ24:AZ26"/>
    <mergeCell ref="BA24:BA26"/>
    <mergeCell ref="BB24:BB26"/>
    <mergeCell ref="BD24:BD26"/>
    <mergeCell ref="AQ24:AQ26"/>
    <mergeCell ref="AR24:AR26"/>
    <mergeCell ref="AS24:AS26"/>
    <mergeCell ref="AT24:AT26"/>
    <mergeCell ref="AV24:AV26"/>
    <mergeCell ref="AW24:AW26"/>
    <mergeCell ref="AL24:AL26"/>
    <mergeCell ref="AM24:AM26"/>
    <mergeCell ref="AN24:AN26"/>
    <mergeCell ref="AO24:AO26"/>
    <mergeCell ref="AP24:AP26"/>
    <mergeCell ref="AE24:AE26"/>
    <mergeCell ref="AF24:AF26"/>
    <mergeCell ref="AG24:AG26"/>
    <mergeCell ref="AI24:AI26"/>
    <mergeCell ref="AJ24:AJ26"/>
    <mergeCell ref="X24:X26"/>
    <mergeCell ref="Y24:Y26"/>
    <mergeCell ref="AA24:AA26"/>
    <mergeCell ref="AB24:AB26"/>
    <mergeCell ref="AC24:AC26"/>
    <mergeCell ref="AD24:AD26"/>
    <mergeCell ref="Q24:Q26"/>
    <mergeCell ref="T24:T26"/>
    <mergeCell ref="U24:U26"/>
    <mergeCell ref="V24:V26"/>
    <mergeCell ref="W24:W26"/>
    <mergeCell ref="DX21:DX23"/>
    <mergeCell ref="CR21:CR23"/>
    <mergeCell ref="CS21:CS23"/>
    <mergeCell ref="CT21:CT23"/>
    <mergeCell ref="CU21:CU23"/>
    <mergeCell ref="CV21:CV23"/>
    <mergeCell ref="CK21:CK23"/>
    <mergeCell ref="CL21:CL23"/>
    <mergeCell ref="CM21:CM23"/>
    <mergeCell ref="CO21:CO23"/>
    <mergeCell ref="CP21:CP23"/>
    <mergeCell ref="CD21:CD23"/>
    <mergeCell ref="CE21:CE23"/>
    <mergeCell ref="CF21:CF23"/>
    <mergeCell ref="CG21:CG23"/>
    <mergeCell ref="CH21:CH23"/>
    <mergeCell ref="DY21:DY23"/>
    <mergeCell ref="J24:J26"/>
    <mergeCell ref="K24:K26"/>
    <mergeCell ref="L24:L26"/>
    <mergeCell ref="M24:M26"/>
    <mergeCell ref="N24:N26"/>
    <mergeCell ref="O24:O26"/>
    <mergeCell ref="DQ21:DQ23"/>
    <mergeCell ref="DR21:DR23"/>
    <mergeCell ref="DT21:DT23"/>
    <mergeCell ref="DU21:DU23"/>
    <mergeCell ref="DV21:DV23"/>
    <mergeCell ref="DW21:DW23"/>
    <mergeCell ref="DJ21:DJ23"/>
    <mergeCell ref="DL21:DL23"/>
    <mergeCell ref="DM21:DM23"/>
    <mergeCell ref="DN21:DN23"/>
    <mergeCell ref="DO21:DO23"/>
    <mergeCell ref="DP21:DP23"/>
    <mergeCell ref="DD21:DD23"/>
    <mergeCell ref="DE21:DE23"/>
    <mergeCell ref="DF21:DF23"/>
    <mergeCell ref="DG21:DG23"/>
    <mergeCell ref="AK24:AK26"/>
    <mergeCell ref="DH21:DH23"/>
    <mergeCell ref="DI21:DI23"/>
    <mergeCell ref="CX21:CX23"/>
    <mergeCell ref="CY21:CY23"/>
    <mergeCell ref="CZ21:CZ23"/>
    <mergeCell ref="DA21:DA23"/>
    <mergeCell ref="DB21:DB23"/>
    <mergeCell ref="CQ21:CQ23"/>
    <mergeCell ref="CJ21:CJ23"/>
    <mergeCell ref="BW21:BW23"/>
    <mergeCell ref="BX21:BX23"/>
    <mergeCell ref="BZ21:BZ23"/>
    <mergeCell ref="CA21:CA23"/>
    <mergeCell ref="CB21:CB23"/>
    <mergeCell ref="CC21:CC23"/>
    <mergeCell ref="BO21:BO23"/>
    <mergeCell ref="BP21:BP23"/>
    <mergeCell ref="BQ21:BQ23"/>
    <mergeCell ref="BR21:BR23"/>
    <mergeCell ref="BT21:BT23"/>
    <mergeCell ref="BV21:BV23"/>
    <mergeCell ref="BI21:BI23"/>
    <mergeCell ref="BJ21:BJ23"/>
    <mergeCell ref="BK21:BK23"/>
    <mergeCell ref="BL21:BL23"/>
    <mergeCell ref="BM21:BM23"/>
    <mergeCell ref="BN21:BN23"/>
    <mergeCell ref="BB21:BB23"/>
    <mergeCell ref="BD21:BD23"/>
    <mergeCell ref="BE21:BE23"/>
    <mergeCell ref="BF21:BF23"/>
    <mergeCell ref="BG21:BG23"/>
    <mergeCell ref="BH21:BH23"/>
    <mergeCell ref="AV21:AV23"/>
    <mergeCell ref="AW21:AW23"/>
    <mergeCell ref="AX21:AX23"/>
    <mergeCell ref="AY21:AY23"/>
    <mergeCell ref="AZ21:AZ23"/>
    <mergeCell ref="BA21:BA23"/>
    <mergeCell ref="AO21:AO23"/>
    <mergeCell ref="AP21:AP23"/>
    <mergeCell ref="AQ21:AQ23"/>
    <mergeCell ref="AR21:AR23"/>
    <mergeCell ref="AS21:AS23"/>
    <mergeCell ref="AT21:AT23"/>
    <mergeCell ref="AK21:AK23"/>
    <mergeCell ref="AL21:AL23"/>
    <mergeCell ref="AM21:AM23"/>
    <mergeCell ref="AN21:AN23"/>
    <mergeCell ref="AC21:AC23"/>
    <mergeCell ref="AD21:AD23"/>
    <mergeCell ref="AE21:AE23"/>
    <mergeCell ref="AF21:AF23"/>
    <mergeCell ref="AG21:AG23"/>
    <mergeCell ref="W21:W23"/>
    <mergeCell ref="X21:X23"/>
    <mergeCell ref="Y21:Y23"/>
    <mergeCell ref="AA21:AA23"/>
    <mergeCell ref="AB21:AB23"/>
    <mergeCell ref="N21:N23"/>
    <mergeCell ref="O21:O23"/>
    <mergeCell ref="Q21:Q23"/>
    <mergeCell ref="T21:T23"/>
    <mergeCell ref="U21:U23"/>
    <mergeCell ref="V21:V23"/>
    <mergeCell ref="S21:S23"/>
    <mergeCell ref="AH21:AH23"/>
    <mergeCell ref="R21:R23"/>
    <mergeCell ref="L21:L23"/>
    <mergeCell ref="M21:M23"/>
    <mergeCell ref="DT18:DT20"/>
    <mergeCell ref="DU18:DU20"/>
    <mergeCell ref="DV18:DV20"/>
    <mergeCell ref="DW18:DW20"/>
    <mergeCell ref="DX18:DX20"/>
    <mergeCell ref="DY18:DY20"/>
    <mergeCell ref="DM18:DM20"/>
    <mergeCell ref="DN18:DN20"/>
    <mergeCell ref="DO18:DO20"/>
    <mergeCell ref="DP18:DP20"/>
    <mergeCell ref="DQ18:DQ20"/>
    <mergeCell ref="DR18:DR20"/>
    <mergeCell ref="DF18:DF20"/>
    <mergeCell ref="DG18:DG20"/>
    <mergeCell ref="DH18:DH20"/>
    <mergeCell ref="DI18:DI20"/>
    <mergeCell ref="DJ18:DJ20"/>
    <mergeCell ref="DL18:DL20"/>
    <mergeCell ref="CZ18:CZ20"/>
    <mergeCell ref="DA18:DA20"/>
    <mergeCell ref="DB18:DB20"/>
    <mergeCell ref="DD18:DD20"/>
    <mergeCell ref="DE18:DE20"/>
    <mergeCell ref="CS18:CS20"/>
    <mergeCell ref="CT18:CT20"/>
    <mergeCell ref="CU18:CU20"/>
    <mergeCell ref="CV18:CV20"/>
    <mergeCell ref="CX18:CX20"/>
    <mergeCell ref="AI21:AI23"/>
    <mergeCell ref="AJ21:AJ23"/>
    <mergeCell ref="CY18:CY20"/>
    <mergeCell ref="CM18:CM20"/>
    <mergeCell ref="CO18:CO20"/>
    <mergeCell ref="CP18:CP20"/>
    <mergeCell ref="CQ18:CQ20"/>
    <mergeCell ref="CR18:CR20"/>
    <mergeCell ref="CF18:CF20"/>
    <mergeCell ref="CG18:CG20"/>
    <mergeCell ref="CH18:CH20"/>
    <mergeCell ref="CJ18:CJ20"/>
    <mergeCell ref="CK18:CK20"/>
    <mergeCell ref="CL18:CL20"/>
    <mergeCell ref="BZ18:BZ20"/>
    <mergeCell ref="CA18:CA20"/>
    <mergeCell ref="CB18:CB20"/>
    <mergeCell ref="CC18:CC20"/>
    <mergeCell ref="CD18:CD20"/>
    <mergeCell ref="CE18:CE20"/>
    <mergeCell ref="BQ18:BQ20"/>
    <mergeCell ref="BR18:BR20"/>
    <mergeCell ref="BT18:BT20"/>
    <mergeCell ref="BV18:BV20"/>
    <mergeCell ref="BW18:BW20"/>
    <mergeCell ref="BX18:BX20"/>
    <mergeCell ref="BK18:BK20"/>
    <mergeCell ref="BL18:BL20"/>
    <mergeCell ref="BM18:BM20"/>
    <mergeCell ref="BN18:BN20"/>
    <mergeCell ref="BO18:BO20"/>
    <mergeCell ref="BP18:BP20"/>
    <mergeCell ref="BE18:BE20"/>
    <mergeCell ref="BF18:BF20"/>
    <mergeCell ref="BG18:BG20"/>
    <mergeCell ref="BH18:BH20"/>
    <mergeCell ref="BI18:BI20"/>
    <mergeCell ref="BJ18:BJ20"/>
    <mergeCell ref="AX18:AX20"/>
    <mergeCell ref="AY18:AY20"/>
    <mergeCell ref="AZ18:AZ20"/>
    <mergeCell ref="BA18:BA20"/>
    <mergeCell ref="BB18:BB20"/>
    <mergeCell ref="BD18:BD20"/>
    <mergeCell ref="AQ18:AQ20"/>
    <mergeCell ref="AR18:AR20"/>
    <mergeCell ref="AS18:AS20"/>
    <mergeCell ref="AT18:AT20"/>
    <mergeCell ref="AV18:AV20"/>
    <mergeCell ref="AW18:AW20"/>
    <mergeCell ref="AK18:AK20"/>
    <mergeCell ref="AL18:AL20"/>
    <mergeCell ref="AM18:AM20"/>
    <mergeCell ref="AN18:AN20"/>
    <mergeCell ref="AO18:AO20"/>
    <mergeCell ref="AP18:AP20"/>
    <mergeCell ref="AE18:AE20"/>
    <mergeCell ref="AF18:AF20"/>
    <mergeCell ref="AG18:AG20"/>
    <mergeCell ref="AI18:AI20"/>
    <mergeCell ref="AJ18:AJ20"/>
    <mergeCell ref="X18:X20"/>
    <mergeCell ref="Y18:Y20"/>
    <mergeCell ref="AA18:AA20"/>
    <mergeCell ref="AB18:AB20"/>
    <mergeCell ref="AC18:AC20"/>
    <mergeCell ref="AD18:AD20"/>
    <mergeCell ref="Q18:Q20"/>
    <mergeCell ref="T18:T20"/>
    <mergeCell ref="U18:U20"/>
    <mergeCell ref="V18:V20"/>
    <mergeCell ref="W18:W20"/>
    <mergeCell ref="K18:K20"/>
    <mergeCell ref="L18:L20"/>
    <mergeCell ref="M18:M20"/>
    <mergeCell ref="N18:N20"/>
    <mergeCell ref="O18:O20"/>
    <mergeCell ref="S18:S20"/>
    <mergeCell ref="AH18:AH20"/>
    <mergeCell ref="R18:R20"/>
    <mergeCell ref="DW14:DW16"/>
    <mergeCell ref="DX14:DX16"/>
    <mergeCell ref="DY8:DY10"/>
    <mergeCell ref="DY11:DY13"/>
    <mergeCell ref="DY14:DY16"/>
    <mergeCell ref="DW8:DW10"/>
    <mergeCell ref="DX8:DX10"/>
    <mergeCell ref="DW11:DW13"/>
    <mergeCell ref="DX11:DX13"/>
    <mergeCell ref="DR14:DR16"/>
    <mergeCell ref="DT14:DT16"/>
    <mergeCell ref="DU8:DU10"/>
    <mergeCell ref="DV8:DV10"/>
    <mergeCell ref="DU11:DU13"/>
    <mergeCell ref="DV11:DV13"/>
    <mergeCell ref="DU14:DU16"/>
    <mergeCell ref="DV14:DV16"/>
    <mergeCell ref="DR11:DR13"/>
    <mergeCell ref="DT11:DT13"/>
    <mergeCell ref="DI14:DI16"/>
    <mergeCell ref="DJ14:DJ16"/>
    <mergeCell ref="DL14:DL16"/>
    <mergeCell ref="DM14:DM16"/>
    <mergeCell ref="DN14:DN16"/>
    <mergeCell ref="DO14:DO16"/>
    <mergeCell ref="DP14:DP16"/>
    <mergeCell ref="DQ14:DQ16"/>
    <mergeCell ref="DR8:DR10"/>
    <mergeCell ref="DT8:DT10"/>
    <mergeCell ref="DI11:DI13"/>
    <mergeCell ref="DJ11:DJ13"/>
    <mergeCell ref="DL11:DL13"/>
    <mergeCell ref="DM11:DM13"/>
    <mergeCell ref="DN11:DN13"/>
    <mergeCell ref="DO11:DO13"/>
    <mergeCell ref="DP11:DP13"/>
    <mergeCell ref="DQ11:DQ13"/>
    <mergeCell ref="DI8:DI10"/>
    <mergeCell ref="DJ8:DJ10"/>
    <mergeCell ref="DL8:DL10"/>
    <mergeCell ref="DM8:DM10"/>
    <mergeCell ref="DN8:DN10"/>
    <mergeCell ref="DO8:DO10"/>
    <mergeCell ref="DP8:DP10"/>
    <mergeCell ref="DQ8:DQ10"/>
    <mergeCell ref="DL5:DL7"/>
    <mergeCell ref="DM5:DM7"/>
    <mergeCell ref="DN5:DN7"/>
    <mergeCell ref="DO5:DO7"/>
    <mergeCell ref="DP5:DP7"/>
    <mergeCell ref="DQ5:DQ7"/>
    <mergeCell ref="DE14:DE16"/>
    <mergeCell ref="DF14:DF16"/>
    <mergeCell ref="DG14:DG16"/>
    <mergeCell ref="DH14:DH16"/>
    <mergeCell ref="DI5:DI7"/>
    <mergeCell ref="DJ5:DJ7"/>
    <mergeCell ref="DE11:DE13"/>
    <mergeCell ref="DF11:DF13"/>
    <mergeCell ref="DG11:DG13"/>
    <mergeCell ref="DH11:DH13"/>
    <mergeCell ref="CY14:CY16"/>
    <mergeCell ref="CZ14:CZ16"/>
    <mergeCell ref="DA14:DA16"/>
    <mergeCell ref="DB14:DB16"/>
    <mergeCell ref="DD14:DD16"/>
    <mergeCell ref="CY11:CY13"/>
    <mergeCell ref="CZ11:CZ13"/>
    <mergeCell ref="DA11:DA13"/>
    <mergeCell ref="DB11:DB13"/>
    <mergeCell ref="DD11:DD13"/>
    <mergeCell ref="DD8:DD10"/>
    <mergeCell ref="DE8:DE10"/>
    <mergeCell ref="DF8:DF10"/>
    <mergeCell ref="DG8:DG10"/>
    <mergeCell ref="DH8:DH10"/>
    <mergeCell ref="DD5:DD7"/>
    <mergeCell ref="DE5:DE7"/>
    <mergeCell ref="DF5:DF7"/>
    <mergeCell ref="DG5:DG7"/>
    <mergeCell ref="DH5:DH7"/>
    <mergeCell ref="CV14:CV16"/>
    <mergeCell ref="CX14:CX16"/>
    <mergeCell ref="CY5:CY7"/>
    <mergeCell ref="CZ5:CZ7"/>
    <mergeCell ref="DA5:DA7"/>
    <mergeCell ref="DB5:DB7"/>
    <mergeCell ref="CY8:CY10"/>
    <mergeCell ref="CZ8:CZ10"/>
    <mergeCell ref="DA8:DA10"/>
    <mergeCell ref="DB8:DB10"/>
    <mergeCell ref="CV11:CV13"/>
    <mergeCell ref="CX11:CX13"/>
    <mergeCell ref="CV5:CV7"/>
    <mergeCell ref="CX5:CX7"/>
    <mergeCell ref="CM14:CM16"/>
    <mergeCell ref="CO14:CO16"/>
    <mergeCell ref="CP14:CP16"/>
    <mergeCell ref="CQ14:CQ16"/>
    <mergeCell ref="CR14:CR16"/>
    <mergeCell ref="CS14:CS16"/>
    <mergeCell ref="CT14:CT16"/>
    <mergeCell ref="CU14:CU16"/>
    <mergeCell ref="CV8:CV10"/>
    <mergeCell ref="CX8:CX10"/>
    <mergeCell ref="CM11:CM13"/>
    <mergeCell ref="CO11:CO13"/>
    <mergeCell ref="CP11:CP13"/>
    <mergeCell ref="CQ11:CQ13"/>
    <mergeCell ref="CR11:CR13"/>
    <mergeCell ref="CS11:CS13"/>
    <mergeCell ref="CT11:CT13"/>
    <mergeCell ref="CU11:CU13"/>
    <mergeCell ref="CM8:CM10"/>
    <mergeCell ref="CO8:CO10"/>
    <mergeCell ref="CP8:CP10"/>
    <mergeCell ref="CQ8:CQ10"/>
    <mergeCell ref="CR8:CR10"/>
    <mergeCell ref="CS8:CS10"/>
    <mergeCell ref="CT8:CT10"/>
    <mergeCell ref="CU8:CU10"/>
    <mergeCell ref="CP5:CP7"/>
    <mergeCell ref="CQ5:CQ7"/>
    <mergeCell ref="CR5:CR7"/>
    <mergeCell ref="CS5:CS7"/>
    <mergeCell ref="CT5:CT7"/>
    <mergeCell ref="CU5:CU7"/>
    <mergeCell ref="CJ14:CJ16"/>
    <mergeCell ref="CK14:CK16"/>
    <mergeCell ref="CL14:CL16"/>
    <mergeCell ref="CM5:CM7"/>
    <mergeCell ref="CO5:CO7"/>
    <mergeCell ref="CJ11:CJ13"/>
    <mergeCell ref="CK11:CK13"/>
    <mergeCell ref="CL11:CL13"/>
    <mergeCell ref="CC14:CC16"/>
    <mergeCell ref="CD14:CD16"/>
    <mergeCell ref="CE14:CE16"/>
    <mergeCell ref="CF14:CF16"/>
    <mergeCell ref="CG14:CG16"/>
    <mergeCell ref="CH14:CH16"/>
    <mergeCell ref="CC11:CC13"/>
    <mergeCell ref="CD11:CD13"/>
    <mergeCell ref="CE11:CE13"/>
    <mergeCell ref="CF11:CF13"/>
    <mergeCell ref="CG11:CG13"/>
    <mergeCell ref="CH11:CH13"/>
    <mergeCell ref="CG8:CG10"/>
    <mergeCell ref="CH8:CH10"/>
    <mergeCell ref="CJ8:CJ10"/>
    <mergeCell ref="CK8:CK10"/>
    <mergeCell ref="CL8:CL10"/>
    <mergeCell ref="CG5:CG7"/>
    <mergeCell ref="CH5:CH7"/>
    <mergeCell ref="CJ5:CJ7"/>
    <mergeCell ref="CK5:CK7"/>
    <mergeCell ref="CL5:CL7"/>
    <mergeCell ref="CA14:CA16"/>
    <mergeCell ref="CB14:CB16"/>
    <mergeCell ref="CC5:CC7"/>
    <mergeCell ref="CD5:CD7"/>
    <mergeCell ref="CE5:CE7"/>
    <mergeCell ref="CF5:CF7"/>
    <mergeCell ref="CC8:CC10"/>
    <mergeCell ref="CD8:CD10"/>
    <mergeCell ref="CE8:CE10"/>
    <mergeCell ref="CF8:CF10"/>
    <mergeCell ref="CA11:CA13"/>
    <mergeCell ref="CB11:CB13"/>
    <mergeCell ref="CA5:CA7"/>
    <mergeCell ref="CB5:CB7"/>
    <mergeCell ref="BP14:BP16"/>
    <mergeCell ref="BQ14:BQ16"/>
    <mergeCell ref="BR14:BR16"/>
    <mergeCell ref="BT14:BT16"/>
    <mergeCell ref="BV14:BV16"/>
    <mergeCell ref="BW14:BW16"/>
    <mergeCell ref="BX14:BX16"/>
    <mergeCell ref="BZ14:BZ16"/>
    <mergeCell ref="CA8:CA10"/>
    <mergeCell ref="CB8:CB10"/>
    <mergeCell ref="BP11:BP13"/>
    <mergeCell ref="BQ11:BQ13"/>
    <mergeCell ref="BR11:BR13"/>
    <mergeCell ref="BT11:BT13"/>
    <mergeCell ref="BV11:BV13"/>
    <mergeCell ref="BW11:BW13"/>
    <mergeCell ref="BX11:BX13"/>
    <mergeCell ref="BZ11:BZ13"/>
    <mergeCell ref="BP8:BP10"/>
    <mergeCell ref="BQ8:BQ10"/>
    <mergeCell ref="BR8:BR10"/>
    <mergeCell ref="BT8:BT10"/>
    <mergeCell ref="BV8:BV10"/>
    <mergeCell ref="BW8:BW10"/>
    <mergeCell ref="BX8:BX10"/>
    <mergeCell ref="BZ8:BZ10"/>
    <mergeCell ref="BR5:BR7"/>
    <mergeCell ref="BT5:BT7"/>
    <mergeCell ref="BV5:BV7"/>
    <mergeCell ref="BW5:BW7"/>
    <mergeCell ref="BX5:BX7"/>
    <mergeCell ref="BZ5:BZ7"/>
    <mergeCell ref="BL14:BL16"/>
    <mergeCell ref="BM14:BM16"/>
    <mergeCell ref="BN14:BN16"/>
    <mergeCell ref="BO14:BO16"/>
    <mergeCell ref="BP5:BP7"/>
    <mergeCell ref="BQ5:BQ7"/>
    <mergeCell ref="BL11:BL13"/>
    <mergeCell ref="BM11:BM13"/>
    <mergeCell ref="BN11:BN13"/>
    <mergeCell ref="BO11:BO13"/>
    <mergeCell ref="BF14:BF16"/>
    <mergeCell ref="BG14:BG16"/>
    <mergeCell ref="BH14:BH16"/>
    <mergeCell ref="BI14:BI16"/>
    <mergeCell ref="BJ14:BJ16"/>
    <mergeCell ref="BK14:BK16"/>
    <mergeCell ref="BF11:BF13"/>
    <mergeCell ref="BG11:BG13"/>
    <mergeCell ref="BH11:BH13"/>
    <mergeCell ref="BI11:BI13"/>
    <mergeCell ref="BJ11:BJ13"/>
    <mergeCell ref="BK11:BK13"/>
    <mergeCell ref="BJ8:BJ10"/>
    <mergeCell ref="BK8:BK10"/>
    <mergeCell ref="BL8:BL10"/>
    <mergeCell ref="BM8:BM10"/>
    <mergeCell ref="BN8:BN10"/>
    <mergeCell ref="BO8:BO10"/>
    <mergeCell ref="BJ5:BJ7"/>
    <mergeCell ref="BK5:BK7"/>
    <mergeCell ref="BL5:BL7"/>
    <mergeCell ref="BM5:BM7"/>
    <mergeCell ref="BN5:BN7"/>
    <mergeCell ref="BO5:BO7"/>
    <mergeCell ref="BD14:BD16"/>
    <mergeCell ref="BE14:BE16"/>
    <mergeCell ref="BF5:BF7"/>
    <mergeCell ref="BG5:BG7"/>
    <mergeCell ref="BH5:BH7"/>
    <mergeCell ref="BI5:BI7"/>
    <mergeCell ref="BF8:BF10"/>
    <mergeCell ref="BG8:BG10"/>
    <mergeCell ref="BH8:BH10"/>
    <mergeCell ref="BI8:BI10"/>
    <mergeCell ref="BD11:BD13"/>
    <mergeCell ref="BE11:BE13"/>
    <mergeCell ref="BD5:BD7"/>
    <mergeCell ref="BE5:BE7"/>
    <mergeCell ref="AT14:AT16"/>
    <mergeCell ref="AV14:AV16"/>
    <mergeCell ref="AW14:AW16"/>
    <mergeCell ref="AX14:AX16"/>
    <mergeCell ref="AY14:AY16"/>
    <mergeCell ref="AZ14:AZ16"/>
    <mergeCell ref="BA14:BA16"/>
    <mergeCell ref="BB14:BB16"/>
    <mergeCell ref="BD8:BD10"/>
    <mergeCell ref="BE8:BE10"/>
    <mergeCell ref="AT11:AT13"/>
    <mergeCell ref="AV11:AV13"/>
    <mergeCell ref="AW11:AW13"/>
    <mergeCell ref="AX11:AX13"/>
    <mergeCell ref="AY11:AY13"/>
    <mergeCell ref="AZ11:AZ13"/>
    <mergeCell ref="BA11:BA13"/>
    <mergeCell ref="BB11:BB13"/>
    <mergeCell ref="AT8:AT10"/>
    <mergeCell ref="AV8:AV10"/>
    <mergeCell ref="AW8:AW10"/>
    <mergeCell ref="AX8:AX10"/>
    <mergeCell ref="AY8:AY10"/>
    <mergeCell ref="AZ8:AZ10"/>
    <mergeCell ref="BA8:BA10"/>
    <mergeCell ref="BB8:BB10"/>
    <mergeCell ref="AW5:AW7"/>
    <mergeCell ref="AX5:AX7"/>
    <mergeCell ref="AY5:AY7"/>
    <mergeCell ref="AZ5:AZ7"/>
    <mergeCell ref="BA5:BA7"/>
    <mergeCell ref="BB5:BB7"/>
    <mergeCell ref="AP14:AP16"/>
    <mergeCell ref="AQ14:AQ16"/>
    <mergeCell ref="AR14:AR16"/>
    <mergeCell ref="AS14:AS16"/>
    <mergeCell ref="AT5:AT7"/>
    <mergeCell ref="AV5:AV7"/>
    <mergeCell ref="AP11:AP13"/>
    <mergeCell ref="AQ11:AQ13"/>
    <mergeCell ref="AR11:AR13"/>
    <mergeCell ref="AS11:AS13"/>
    <mergeCell ref="AJ14:AJ16"/>
    <mergeCell ref="AK14:AK16"/>
    <mergeCell ref="AL14:AL16"/>
    <mergeCell ref="AM14:AM16"/>
    <mergeCell ref="AN14:AN16"/>
    <mergeCell ref="AO14:AO16"/>
    <mergeCell ref="AJ11:AJ13"/>
    <mergeCell ref="AK11:AK13"/>
    <mergeCell ref="AL11:AL13"/>
    <mergeCell ref="AM11:AM13"/>
    <mergeCell ref="AN11:AN13"/>
    <mergeCell ref="AO11:AO13"/>
    <mergeCell ref="AN8:AN10"/>
    <mergeCell ref="AO8:AO10"/>
    <mergeCell ref="AP8:AP10"/>
    <mergeCell ref="AQ8:AQ10"/>
    <mergeCell ref="AR8:AR10"/>
    <mergeCell ref="AS8:AS10"/>
    <mergeCell ref="AN5:AN7"/>
    <mergeCell ref="AO5:AO7"/>
    <mergeCell ref="AP5:AP7"/>
    <mergeCell ref="AQ5:AQ7"/>
    <mergeCell ref="AR5:AR7"/>
    <mergeCell ref="AS5:AS7"/>
    <mergeCell ref="AG14:AG16"/>
    <mergeCell ref="AI14:AI16"/>
    <mergeCell ref="AJ5:AJ7"/>
    <mergeCell ref="AK5:AK7"/>
    <mergeCell ref="AL5:AL7"/>
    <mergeCell ref="AM5:AM7"/>
    <mergeCell ref="AJ8:AJ10"/>
    <mergeCell ref="AK8:AK10"/>
    <mergeCell ref="AL8:AL10"/>
    <mergeCell ref="AM8:AM10"/>
    <mergeCell ref="AG11:AG13"/>
    <mergeCell ref="AI11:AI13"/>
    <mergeCell ref="AG5:AG7"/>
    <mergeCell ref="AI5:AI7"/>
    <mergeCell ref="AH5:AH7"/>
    <mergeCell ref="AH8:AH10"/>
    <mergeCell ref="AH11:AH13"/>
    <mergeCell ref="AH14:AH16"/>
    <mergeCell ref="Y14:Y16"/>
    <mergeCell ref="AA14:AA16"/>
    <mergeCell ref="AB14:AB16"/>
    <mergeCell ref="AC14:AC16"/>
    <mergeCell ref="AD14:AD16"/>
    <mergeCell ref="AE14:AE16"/>
    <mergeCell ref="AF14:AF16"/>
    <mergeCell ref="AG8:AG10"/>
    <mergeCell ref="AI8:AI10"/>
    <mergeCell ref="Y11:Y13"/>
    <mergeCell ref="AA11:AA13"/>
    <mergeCell ref="AB11:AB13"/>
    <mergeCell ref="AC11:AC13"/>
    <mergeCell ref="AD11:AD13"/>
    <mergeCell ref="AE11:AE13"/>
    <mergeCell ref="AF11:AF13"/>
    <mergeCell ref="Y8:Y10"/>
    <mergeCell ref="AA8:AA10"/>
    <mergeCell ref="AB8:AB10"/>
    <mergeCell ref="AC8:AC10"/>
    <mergeCell ref="AD8:AD10"/>
    <mergeCell ref="AE8:AE10"/>
    <mergeCell ref="AF8:AF10"/>
    <mergeCell ref="AB5:AB7"/>
    <mergeCell ref="AC5:AC7"/>
    <mergeCell ref="AD5:AD7"/>
    <mergeCell ref="AE5:AE7"/>
    <mergeCell ref="AF5:AF7"/>
    <mergeCell ref="V14:V16"/>
    <mergeCell ref="W14:W16"/>
    <mergeCell ref="X14:X16"/>
    <mergeCell ref="Y5:Y7"/>
    <mergeCell ref="AA5:AA7"/>
    <mergeCell ref="V11:V13"/>
    <mergeCell ref="W11:W13"/>
    <mergeCell ref="X11:X13"/>
    <mergeCell ref="M14:M16"/>
    <mergeCell ref="N14:N16"/>
    <mergeCell ref="O14:O16"/>
    <mergeCell ref="Q14:Q16"/>
    <mergeCell ref="T14:T16"/>
    <mergeCell ref="U14:U16"/>
    <mergeCell ref="V8:V10"/>
    <mergeCell ref="W8:W10"/>
    <mergeCell ref="X8:X10"/>
    <mergeCell ref="M11:M13"/>
    <mergeCell ref="N11:N13"/>
    <mergeCell ref="O11:O13"/>
    <mergeCell ref="Q11:Q13"/>
    <mergeCell ref="T11:T13"/>
    <mergeCell ref="U11:U13"/>
    <mergeCell ref="V5:V7"/>
    <mergeCell ref="W5:W7"/>
    <mergeCell ref="X5:X7"/>
    <mergeCell ref="M8:M10"/>
    <mergeCell ref="N8:N10"/>
    <mergeCell ref="O8:O10"/>
    <mergeCell ref="Q8:Q10"/>
    <mergeCell ref="T8:T10"/>
    <mergeCell ref="U8:U10"/>
    <mergeCell ref="M5:M7"/>
    <mergeCell ref="N5:N7"/>
    <mergeCell ref="O5:O7"/>
    <mergeCell ref="Q5:Q7"/>
    <mergeCell ref="T5:T7"/>
    <mergeCell ref="U5:U7"/>
    <mergeCell ref="K11:K13"/>
    <mergeCell ref="L11:L13"/>
    <mergeCell ref="S5:S7"/>
    <mergeCell ref="S8:S10"/>
    <mergeCell ref="S11:S13"/>
    <mergeCell ref="J14:J16"/>
    <mergeCell ref="K14:K16"/>
    <mergeCell ref="L14:L16"/>
    <mergeCell ref="K5:K7"/>
    <mergeCell ref="L5:L7"/>
    <mergeCell ref="J8:J10"/>
    <mergeCell ref="K8:K10"/>
    <mergeCell ref="L8:L10"/>
    <mergeCell ref="S14:S16"/>
    <mergeCell ref="J5:J7"/>
    <mergeCell ref="J11:J13"/>
    <mergeCell ref="R5:R7"/>
    <mergeCell ref="R8:R10"/>
    <mergeCell ref="R11:R13"/>
    <mergeCell ref="R14:R16"/>
    <mergeCell ref="P5:P7"/>
    <mergeCell ref="J18:J20"/>
    <mergeCell ref="B24:B26"/>
    <mergeCell ref="B27:B29"/>
    <mergeCell ref="B30:B32"/>
    <mergeCell ref="B34:B36"/>
    <mergeCell ref="B37:B39"/>
    <mergeCell ref="B40:B42"/>
    <mergeCell ref="B43:B45"/>
    <mergeCell ref="B46:B48"/>
    <mergeCell ref="B49:B51"/>
    <mergeCell ref="J40:J42"/>
    <mergeCell ref="K40:K42"/>
    <mergeCell ref="B5:B7"/>
    <mergeCell ref="B8:B10"/>
    <mergeCell ref="B11:B13"/>
    <mergeCell ref="B14:B16"/>
    <mergeCell ref="B18:B20"/>
    <mergeCell ref="B21:B23"/>
    <mergeCell ref="F18:F20"/>
    <mergeCell ref="F21:F23"/>
    <mergeCell ref="I8:I10"/>
    <mergeCell ref="I11:I13"/>
    <mergeCell ref="I14:I16"/>
    <mergeCell ref="I18:I20"/>
    <mergeCell ref="I21:I23"/>
    <mergeCell ref="F5:F7"/>
    <mergeCell ref="I5:I7"/>
    <mergeCell ref="J21:J23"/>
    <mergeCell ref="K21:K23"/>
    <mergeCell ref="J34:J36"/>
    <mergeCell ref="F8:F10"/>
    <mergeCell ref="F11:F13"/>
    <mergeCell ref="B109:B111"/>
    <mergeCell ref="B112:B114"/>
    <mergeCell ref="B97:B99"/>
    <mergeCell ref="B68:B70"/>
    <mergeCell ref="B71:B73"/>
    <mergeCell ref="B75:B77"/>
    <mergeCell ref="B78:B80"/>
    <mergeCell ref="B81:B83"/>
    <mergeCell ref="B84:B86"/>
    <mergeCell ref="B52:B54"/>
    <mergeCell ref="B56:B58"/>
    <mergeCell ref="B59:B61"/>
    <mergeCell ref="B62:B64"/>
    <mergeCell ref="B115:B117"/>
    <mergeCell ref="B100:B101"/>
    <mergeCell ref="B103:B105"/>
    <mergeCell ref="B106:B108"/>
    <mergeCell ref="B65:B67"/>
    <mergeCell ref="B87:B89"/>
    <mergeCell ref="B90:B92"/>
    <mergeCell ref="B94:B96"/>
    <mergeCell ref="F14:F16"/>
    <mergeCell ref="D8:D10"/>
    <mergeCell ref="D11:D13"/>
    <mergeCell ref="D14:D16"/>
    <mergeCell ref="D18:D20"/>
    <mergeCell ref="D21:D23"/>
    <mergeCell ref="D5:D7"/>
    <mergeCell ref="C5:C7"/>
    <mergeCell ref="C8:C10"/>
    <mergeCell ref="C11:C13"/>
    <mergeCell ref="F103:F105"/>
    <mergeCell ref="F115:F117"/>
    <mergeCell ref="F87:F89"/>
    <mergeCell ref="F90:F92"/>
    <mergeCell ref="F94:F96"/>
    <mergeCell ref="F97:F99"/>
    <mergeCell ref="F100:F101"/>
    <mergeCell ref="F106:F108"/>
    <mergeCell ref="F109:F111"/>
    <mergeCell ref="F112:F114"/>
    <mergeCell ref="D71:D73"/>
    <mergeCell ref="D75:D77"/>
    <mergeCell ref="D78:D80"/>
    <mergeCell ref="D81:D83"/>
    <mergeCell ref="D84:D86"/>
    <mergeCell ref="D103:D105"/>
    <mergeCell ref="D115:D117"/>
    <mergeCell ref="D87:D89"/>
    <mergeCell ref="D90:D92"/>
    <mergeCell ref="D94:D96"/>
    <mergeCell ref="D112:D114"/>
    <mergeCell ref="E100:E101"/>
    <mergeCell ref="D24:D26"/>
    <mergeCell ref="D27:D29"/>
    <mergeCell ref="D30:D32"/>
    <mergeCell ref="D34:D36"/>
    <mergeCell ref="D37:D39"/>
    <mergeCell ref="F68:F70"/>
    <mergeCell ref="F40:F42"/>
    <mergeCell ref="F43:F45"/>
    <mergeCell ref="F46:F48"/>
    <mergeCell ref="F49:F51"/>
    <mergeCell ref="F52:F54"/>
    <mergeCell ref="F56:F58"/>
    <mergeCell ref="F59:F61"/>
    <mergeCell ref="F62:F64"/>
    <mergeCell ref="F65:F67"/>
    <mergeCell ref="D40:D42"/>
    <mergeCell ref="D43:D45"/>
    <mergeCell ref="D46:D48"/>
    <mergeCell ref="D49:D51"/>
    <mergeCell ref="D52:D54"/>
    <mergeCell ref="D56:D58"/>
    <mergeCell ref="D59:D61"/>
    <mergeCell ref="I115:I117"/>
    <mergeCell ref="I87:I89"/>
    <mergeCell ref="I90:I92"/>
    <mergeCell ref="I94:I96"/>
    <mergeCell ref="I97:I99"/>
    <mergeCell ref="I100:I101"/>
    <mergeCell ref="I106:I108"/>
    <mergeCell ref="I109:I111"/>
    <mergeCell ref="I112:I114"/>
    <mergeCell ref="E103:E105"/>
    <mergeCell ref="E106:E108"/>
    <mergeCell ref="E109:E111"/>
    <mergeCell ref="E112:E114"/>
    <mergeCell ref="E115:E117"/>
    <mergeCell ref="F24:F26"/>
    <mergeCell ref="F27:F29"/>
    <mergeCell ref="F30:F32"/>
    <mergeCell ref="F34:F36"/>
    <mergeCell ref="F37:F39"/>
    <mergeCell ref="H68:H70"/>
    <mergeCell ref="H71:H73"/>
    <mergeCell ref="H75:H77"/>
    <mergeCell ref="H78:H80"/>
    <mergeCell ref="H81:H83"/>
    <mergeCell ref="H84:H86"/>
    <mergeCell ref="H87:H89"/>
    <mergeCell ref="H90:H92"/>
    <mergeCell ref="H94:H96"/>
    <mergeCell ref="H97:H99"/>
    <mergeCell ref="H100:H101"/>
    <mergeCell ref="H103:H105"/>
    <mergeCell ref="H106:H108"/>
    <mergeCell ref="D97:D99"/>
    <mergeCell ref="D100:D101"/>
    <mergeCell ref="D106:D108"/>
    <mergeCell ref="D109:D111"/>
    <mergeCell ref="Q62:Q64"/>
    <mergeCell ref="N75:N77"/>
    <mergeCell ref="O75:O77"/>
    <mergeCell ref="Q75:Q77"/>
    <mergeCell ref="J81:J83"/>
    <mergeCell ref="K81:K83"/>
    <mergeCell ref="L81:L83"/>
    <mergeCell ref="R84:R86"/>
    <mergeCell ref="R90:R92"/>
    <mergeCell ref="R94:R96"/>
    <mergeCell ref="R97:R99"/>
    <mergeCell ref="R100:R101"/>
    <mergeCell ref="R103:R105"/>
    <mergeCell ref="R106:R108"/>
    <mergeCell ref="R109:R111"/>
    <mergeCell ref="D62:D64"/>
    <mergeCell ref="D65:D67"/>
    <mergeCell ref="D68:D70"/>
    <mergeCell ref="E62:E64"/>
    <mergeCell ref="I81:I83"/>
    <mergeCell ref="I84:I86"/>
    <mergeCell ref="I103:I105"/>
    <mergeCell ref="M81:M83"/>
    <mergeCell ref="Q94:Q96"/>
    <mergeCell ref="J103:J105"/>
    <mergeCell ref="K103:K105"/>
    <mergeCell ref="L103:L105"/>
    <mergeCell ref="M103:M105"/>
    <mergeCell ref="I40:I42"/>
    <mergeCell ref="I43:I45"/>
    <mergeCell ref="I46:I48"/>
    <mergeCell ref="I49:I51"/>
    <mergeCell ref="I52:I54"/>
    <mergeCell ref="I24:I26"/>
    <mergeCell ref="I27:I29"/>
    <mergeCell ref="I30:I32"/>
    <mergeCell ref="I34:I36"/>
    <mergeCell ref="I37:I39"/>
    <mergeCell ref="I71:I73"/>
    <mergeCell ref="I75:I77"/>
    <mergeCell ref="I78:I80"/>
    <mergeCell ref="K34:K36"/>
    <mergeCell ref="L34:L36"/>
    <mergeCell ref="M34:M36"/>
    <mergeCell ref="Q56:Q58"/>
    <mergeCell ref="J59:J61"/>
    <mergeCell ref="K59:K61"/>
    <mergeCell ref="L59:L61"/>
    <mergeCell ref="M59:M61"/>
    <mergeCell ref="J75:J77"/>
    <mergeCell ref="K75:K77"/>
    <mergeCell ref="L75:L77"/>
    <mergeCell ref="I56:I58"/>
    <mergeCell ref="I59:I61"/>
    <mergeCell ref="I62:I64"/>
    <mergeCell ref="I65:I67"/>
    <mergeCell ref="I68:I70"/>
    <mergeCell ref="N34:N36"/>
    <mergeCell ref="O34:O36"/>
    <mergeCell ref="Q34:Q36"/>
    <mergeCell ref="R24:R26"/>
    <mergeCell ref="R27:R29"/>
    <mergeCell ref="R30:R32"/>
    <mergeCell ref="R34:R36"/>
    <mergeCell ref="R37:R39"/>
    <mergeCell ref="R40:R42"/>
    <mergeCell ref="R43:R45"/>
    <mergeCell ref="R46:R48"/>
    <mergeCell ref="R49:R51"/>
    <mergeCell ref="R52:R54"/>
    <mergeCell ref="R56:R58"/>
    <mergeCell ref="R59:R61"/>
    <mergeCell ref="R62:R64"/>
    <mergeCell ref="R65:R67"/>
    <mergeCell ref="R68:R70"/>
    <mergeCell ref="R75:R77"/>
    <mergeCell ref="R78:R80"/>
    <mergeCell ref="E5:E7"/>
    <mergeCell ref="E8:E10"/>
    <mergeCell ref="E11:E13"/>
    <mergeCell ref="E14:E16"/>
    <mergeCell ref="E18:E20"/>
    <mergeCell ref="E21:E23"/>
    <mergeCell ref="E24:E26"/>
    <mergeCell ref="E27:E29"/>
    <mergeCell ref="E30:E32"/>
    <mergeCell ref="E34:E36"/>
    <mergeCell ref="E37:E39"/>
    <mergeCell ref="E40:E42"/>
    <mergeCell ref="E43:E45"/>
    <mergeCell ref="E46:E48"/>
    <mergeCell ref="E49:E51"/>
    <mergeCell ref="E52:E54"/>
    <mergeCell ref="E56:E58"/>
    <mergeCell ref="G40:G42"/>
    <mergeCell ref="G43:G45"/>
    <mergeCell ref="G46:G48"/>
    <mergeCell ref="G49:G51"/>
    <mergeCell ref="G52:G54"/>
    <mergeCell ref="G56:G58"/>
    <mergeCell ref="E65:E67"/>
    <mergeCell ref="E68:E70"/>
    <mergeCell ref="E71:E73"/>
    <mergeCell ref="E75:E77"/>
    <mergeCell ref="E78:E80"/>
    <mergeCell ref="E81:E83"/>
    <mergeCell ref="E84:E86"/>
    <mergeCell ref="E87:E89"/>
    <mergeCell ref="E90:E92"/>
    <mergeCell ref="E94:E96"/>
    <mergeCell ref="E97:E99"/>
    <mergeCell ref="F71:F73"/>
    <mergeCell ref="F75:F77"/>
    <mergeCell ref="F78:F80"/>
    <mergeCell ref="F81:F83"/>
    <mergeCell ref="F84:F86"/>
    <mergeCell ref="E59:E61"/>
    <mergeCell ref="A1:A2"/>
    <mergeCell ref="B1:DF1"/>
    <mergeCell ref="G112:G114"/>
    <mergeCell ref="G115:G117"/>
    <mergeCell ref="G59:G61"/>
    <mergeCell ref="G62:G64"/>
    <mergeCell ref="G65:G67"/>
    <mergeCell ref="G68:G70"/>
    <mergeCell ref="G71:G73"/>
    <mergeCell ref="G75:G77"/>
    <mergeCell ref="G78:G80"/>
    <mergeCell ref="G81:G83"/>
    <mergeCell ref="G84:G86"/>
    <mergeCell ref="G87:G89"/>
    <mergeCell ref="G90:G92"/>
    <mergeCell ref="G94:G96"/>
    <mergeCell ref="G97:G99"/>
    <mergeCell ref="G100:G101"/>
    <mergeCell ref="G103:G105"/>
    <mergeCell ref="G106:G108"/>
    <mergeCell ref="G109:G111"/>
    <mergeCell ref="G5:G7"/>
    <mergeCell ref="G8:G10"/>
    <mergeCell ref="G11:G13"/>
    <mergeCell ref="G14:G16"/>
    <mergeCell ref="G18:G20"/>
    <mergeCell ref="G21:G23"/>
    <mergeCell ref="G24:G26"/>
    <mergeCell ref="G27:G29"/>
    <mergeCell ref="G30:G32"/>
    <mergeCell ref="G34:G36"/>
    <mergeCell ref="G37:G39"/>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B0DB-E87D-8840-8782-E8375F4EF470}">
  <dimension ref="A1:D48"/>
  <sheetViews>
    <sheetView zoomScale="140" zoomScaleNormal="140" workbookViewId="0">
      <selection activeCell="F6" sqref="F6"/>
    </sheetView>
  </sheetViews>
  <sheetFormatPr baseColWidth="10" defaultRowHeight="16"/>
  <cols>
    <col min="1" max="1" width="70.6640625" style="54" customWidth="1"/>
    <col min="2" max="4" width="13.1640625" style="54" customWidth="1"/>
    <col min="5" max="16384" width="10.83203125" style="54"/>
  </cols>
  <sheetData>
    <row r="1" spans="1:4">
      <c r="A1" s="254" t="s">
        <v>955</v>
      </c>
      <c r="B1" s="252" t="s">
        <v>916</v>
      </c>
      <c r="C1" s="252"/>
      <c r="D1" s="253"/>
    </row>
    <row r="2" spans="1:4">
      <c r="A2" s="255"/>
      <c r="B2" s="50" t="s">
        <v>906</v>
      </c>
      <c r="C2" s="50" t="s">
        <v>907</v>
      </c>
      <c r="D2" s="122" t="s">
        <v>908</v>
      </c>
    </row>
    <row r="3" spans="1:4">
      <c r="A3" s="123" t="s">
        <v>910</v>
      </c>
      <c r="B3" s="124">
        <v>0.60436893203883491</v>
      </c>
      <c r="C3" s="124">
        <v>0.589622641509434</v>
      </c>
      <c r="D3" s="125">
        <v>0.60624999999999996</v>
      </c>
    </row>
    <row r="4" spans="1:4" ht="31" customHeight="1">
      <c r="A4" s="126" t="s">
        <v>919</v>
      </c>
      <c r="B4" s="124">
        <v>0.38834951456310679</v>
      </c>
      <c r="C4" s="124">
        <v>0.39622641509433965</v>
      </c>
      <c r="D4" s="125">
        <v>0.4</v>
      </c>
    </row>
    <row r="5" spans="1:4" ht="31" customHeight="1">
      <c r="A5" s="126" t="s">
        <v>920</v>
      </c>
      <c r="B5" s="124">
        <v>1</v>
      </c>
      <c r="C5" s="124">
        <v>1</v>
      </c>
      <c r="D5" s="125">
        <v>1</v>
      </c>
    </row>
    <row r="6" spans="1:4" ht="31" customHeight="1">
      <c r="A6" s="126" t="s">
        <v>921</v>
      </c>
      <c r="B6" s="124">
        <v>0.17475728155339806</v>
      </c>
      <c r="C6" s="124">
        <v>0.11320754716981132</v>
      </c>
      <c r="D6" s="125">
        <v>0.125</v>
      </c>
    </row>
    <row r="7" spans="1:4" ht="17">
      <c r="A7" s="126" t="s">
        <v>922</v>
      </c>
      <c r="B7" s="124">
        <v>0.85436893203883491</v>
      </c>
      <c r="C7" s="124">
        <v>0.84905660377358494</v>
      </c>
      <c r="D7" s="125">
        <v>0.9</v>
      </c>
    </row>
    <row r="8" spans="1:4">
      <c r="A8" s="123" t="s">
        <v>751</v>
      </c>
      <c r="B8" s="124">
        <v>0.96885589187131171</v>
      </c>
      <c r="C8" s="124">
        <v>0.97358490566037736</v>
      </c>
      <c r="D8" s="125">
        <v>0.96500000000000008</v>
      </c>
    </row>
    <row r="9" spans="1:4" ht="31" customHeight="1">
      <c r="A9" s="126" t="s">
        <v>923</v>
      </c>
      <c r="B9" s="124">
        <v>0.92233009708737868</v>
      </c>
      <c r="C9" s="124">
        <v>0.94339622641509435</v>
      </c>
      <c r="D9" s="125">
        <v>0.875</v>
      </c>
    </row>
    <row r="10" spans="1:4">
      <c r="A10" s="127" t="s">
        <v>924</v>
      </c>
      <c r="B10" s="124">
        <v>0.970873786407767</v>
      </c>
      <c r="C10" s="124">
        <v>0.96226415094339623</v>
      </c>
      <c r="D10" s="125">
        <v>0.97499999999999998</v>
      </c>
    </row>
    <row r="11" spans="1:4">
      <c r="A11" s="127" t="s">
        <v>925</v>
      </c>
      <c r="B11" s="124">
        <v>0.96078431372549022</v>
      </c>
      <c r="C11" s="124">
        <v>0.96226415094339623</v>
      </c>
      <c r="D11" s="125">
        <v>0.97499999999999998</v>
      </c>
    </row>
    <row r="12" spans="1:4">
      <c r="A12" s="127" t="s">
        <v>926</v>
      </c>
      <c r="B12" s="124">
        <v>1</v>
      </c>
      <c r="C12" s="124">
        <v>1</v>
      </c>
      <c r="D12" s="125">
        <v>1</v>
      </c>
    </row>
    <row r="13" spans="1:4" ht="30" customHeight="1">
      <c r="A13" s="126" t="s">
        <v>927</v>
      </c>
      <c r="B13" s="124">
        <v>0.99029126213592233</v>
      </c>
      <c r="C13" s="124">
        <v>1</v>
      </c>
      <c r="D13" s="125">
        <v>1</v>
      </c>
    </row>
    <row r="14" spans="1:4">
      <c r="A14" s="123" t="s">
        <v>911</v>
      </c>
      <c r="B14" s="124">
        <v>0.5714285714285714</v>
      </c>
      <c r="C14" s="124">
        <v>0.57412398921832886</v>
      </c>
      <c r="D14" s="125">
        <v>0.5714285714285714</v>
      </c>
    </row>
    <row r="15" spans="1:4" ht="30" customHeight="1">
      <c r="A15" s="126" t="s">
        <v>928</v>
      </c>
      <c r="B15" s="124">
        <v>1</v>
      </c>
      <c r="C15" s="124">
        <v>1</v>
      </c>
      <c r="D15" s="125">
        <v>1</v>
      </c>
    </row>
    <row r="16" spans="1:4">
      <c r="A16" s="127" t="s">
        <v>929</v>
      </c>
      <c r="B16" s="124">
        <v>1</v>
      </c>
      <c r="C16" s="124">
        <v>1</v>
      </c>
      <c r="D16" s="125">
        <v>1</v>
      </c>
    </row>
    <row r="17" spans="1:4">
      <c r="A17" s="127" t="s">
        <v>930</v>
      </c>
      <c r="B17" s="124">
        <v>1</v>
      </c>
      <c r="C17" s="124">
        <v>1</v>
      </c>
      <c r="D17" s="125">
        <v>1</v>
      </c>
    </row>
    <row r="18" spans="1:4">
      <c r="A18" s="127" t="s">
        <v>931</v>
      </c>
      <c r="B18" s="124">
        <v>1</v>
      </c>
      <c r="C18" s="124">
        <v>1</v>
      </c>
      <c r="D18" s="125">
        <v>1</v>
      </c>
    </row>
    <row r="19" spans="1:4">
      <c r="A19" s="127" t="s">
        <v>932</v>
      </c>
      <c r="B19" s="124">
        <v>0</v>
      </c>
      <c r="C19" s="124">
        <v>0</v>
      </c>
      <c r="D19" s="125">
        <v>0</v>
      </c>
    </row>
    <row r="20" spans="1:4">
      <c r="A20" s="127" t="s">
        <v>933</v>
      </c>
      <c r="B20" s="124">
        <v>0</v>
      </c>
      <c r="C20" s="124">
        <v>0</v>
      </c>
      <c r="D20" s="125">
        <v>0</v>
      </c>
    </row>
    <row r="21" spans="1:4">
      <c r="A21" s="127" t="s">
        <v>934</v>
      </c>
      <c r="B21" s="124">
        <v>0</v>
      </c>
      <c r="C21" s="124">
        <v>1.8867924528301886E-2</v>
      </c>
      <c r="D21" s="125">
        <v>0</v>
      </c>
    </row>
    <row r="22" spans="1:4">
      <c r="A22" s="123" t="s">
        <v>912</v>
      </c>
      <c r="B22" s="124">
        <v>0.64563106796116509</v>
      </c>
      <c r="C22" s="124">
        <v>0.66352201257861632</v>
      </c>
      <c r="D22" s="125">
        <v>0.66249999999999998</v>
      </c>
    </row>
    <row r="23" spans="1:4">
      <c r="A23" s="127" t="s">
        <v>935</v>
      </c>
      <c r="B23" s="124">
        <v>0</v>
      </c>
      <c r="C23" s="124">
        <v>0</v>
      </c>
      <c r="D23" s="125">
        <v>0</v>
      </c>
    </row>
    <row r="24" spans="1:4" ht="28" customHeight="1">
      <c r="A24" s="126" t="s">
        <v>936</v>
      </c>
      <c r="B24" s="124">
        <v>9.7087378640776691E-3</v>
      </c>
      <c r="C24" s="124">
        <v>0</v>
      </c>
      <c r="D24" s="125">
        <v>0</v>
      </c>
    </row>
    <row r="25" spans="1:4">
      <c r="A25" s="127" t="s">
        <v>937</v>
      </c>
      <c r="B25" s="124">
        <v>1</v>
      </c>
      <c r="C25" s="124">
        <v>1</v>
      </c>
      <c r="D25" s="125">
        <v>1</v>
      </c>
    </row>
    <row r="26" spans="1:4">
      <c r="A26" s="127" t="s">
        <v>938</v>
      </c>
      <c r="B26" s="124">
        <v>0.87378640776699024</v>
      </c>
      <c r="C26" s="124">
        <v>0.98113207547169812</v>
      </c>
      <c r="D26" s="125">
        <v>0.97499999999999998</v>
      </c>
    </row>
    <row r="27" spans="1:4">
      <c r="A27" s="127" t="s">
        <v>939</v>
      </c>
      <c r="B27" s="124">
        <v>1</v>
      </c>
      <c r="C27" s="124">
        <v>1</v>
      </c>
      <c r="D27" s="125">
        <v>1</v>
      </c>
    </row>
    <row r="28" spans="1:4" ht="34" customHeight="1">
      <c r="A28" s="126" t="s">
        <v>940</v>
      </c>
      <c r="B28" s="124">
        <v>0.99029126213592233</v>
      </c>
      <c r="C28" s="124">
        <v>1</v>
      </c>
      <c r="D28" s="125">
        <v>1</v>
      </c>
    </row>
    <row r="29" spans="1:4">
      <c r="A29" s="123" t="s">
        <v>913</v>
      </c>
      <c r="B29" s="124">
        <v>0.3754838504981281</v>
      </c>
      <c r="C29" s="124">
        <v>0.110062893081761</v>
      </c>
      <c r="D29" s="125">
        <v>0.12510683760683761</v>
      </c>
    </row>
    <row r="30" spans="1:4" ht="30" customHeight="1">
      <c r="A30" s="126" t="s">
        <v>941</v>
      </c>
      <c r="B30" s="124">
        <v>0.84466019417475724</v>
      </c>
      <c r="C30" s="124">
        <v>0</v>
      </c>
      <c r="D30" s="125">
        <v>0</v>
      </c>
    </row>
    <row r="31" spans="1:4" ht="34">
      <c r="A31" s="126" t="s">
        <v>943</v>
      </c>
      <c r="B31" s="124">
        <v>0.69902912621359226</v>
      </c>
      <c r="C31" s="124">
        <v>0</v>
      </c>
      <c r="D31" s="125">
        <v>0</v>
      </c>
    </row>
    <row r="32" spans="1:4" ht="34">
      <c r="A32" s="126" t="s">
        <v>942</v>
      </c>
      <c r="B32" s="124">
        <v>3.8834951456310676E-2</v>
      </c>
      <c r="C32" s="124">
        <v>0</v>
      </c>
      <c r="D32" s="125">
        <v>2.564102564102564E-2</v>
      </c>
    </row>
    <row r="33" spans="1:4" ht="34">
      <c r="A33" s="126" t="s">
        <v>944</v>
      </c>
      <c r="B33" s="124">
        <v>4.9019607843137254E-2</v>
      </c>
      <c r="C33" s="124">
        <v>9.4339622641509441E-2</v>
      </c>
      <c r="D33" s="125">
        <v>0.1</v>
      </c>
    </row>
    <row r="34" spans="1:4">
      <c r="A34" s="127" t="s">
        <v>945</v>
      </c>
      <c r="B34" s="124">
        <v>0</v>
      </c>
      <c r="C34" s="124">
        <v>0</v>
      </c>
      <c r="D34" s="125">
        <v>0</v>
      </c>
    </row>
    <row r="35" spans="1:4">
      <c r="A35" s="127" t="s">
        <v>946</v>
      </c>
      <c r="B35" s="124">
        <v>0.62135922330097082</v>
      </c>
      <c r="C35" s="124">
        <v>0.56603773584905659</v>
      </c>
      <c r="D35" s="125">
        <v>0.625</v>
      </c>
    </row>
    <row r="36" spans="1:4">
      <c r="A36" s="123" t="s">
        <v>914</v>
      </c>
      <c r="B36" s="124">
        <v>0.89865103015155878</v>
      </c>
      <c r="C36" s="124">
        <v>0.92343976777939041</v>
      </c>
      <c r="D36" s="125">
        <v>0.92478632478632472</v>
      </c>
    </row>
    <row r="37" spans="1:4">
      <c r="A37" s="127" t="s">
        <v>947</v>
      </c>
      <c r="B37" s="124">
        <v>0.84158415841584155</v>
      </c>
      <c r="C37" s="124">
        <v>0.88461538461538458</v>
      </c>
      <c r="D37" s="125">
        <v>0.9</v>
      </c>
    </row>
    <row r="38" spans="1:4">
      <c r="A38" s="127" t="s">
        <v>948</v>
      </c>
      <c r="B38" s="124">
        <v>0.93203883495145634</v>
      </c>
      <c r="C38" s="124">
        <v>0.94339622641509435</v>
      </c>
      <c r="D38" s="125">
        <v>0.9</v>
      </c>
    </row>
    <row r="39" spans="1:4">
      <c r="A39" s="127" t="s">
        <v>949</v>
      </c>
      <c r="B39" s="124">
        <v>0.92233009708737868</v>
      </c>
      <c r="C39" s="124">
        <v>0.94230769230769229</v>
      </c>
      <c r="D39" s="125">
        <v>0.97435897435897434</v>
      </c>
    </row>
    <row r="40" spans="1:4">
      <c r="A40" s="123" t="s">
        <v>915</v>
      </c>
      <c r="B40" s="124">
        <v>1</v>
      </c>
      <c r="C40" s="124">
        <v>1</v>
      </c>
      <c r="D40" s="125">
        <v>1</v>
      </c>
    </row>
    <row r="41" spans="1:4" ht="29" customHeight="1">
      <c r="A41" s="126" t="s">
        <v>950</v>
      </c>
      <c r="B41" s="124">
        <v>1</v>
      </c>
      <c r="C41" s="124">
        <v>1</v>
      </c>
      <c r="D41" s="125">
        <v>1</v>
      </c>
    </row>
    <row r="42" spans="1:4" ht="29" customHeight="1">
      <c r="A42" s="126" t="s">
        <v>951</v>
      </c>
      <c r="B42" s="124">
        <v>1</v>
      </c>
      <c r="C42" s="124">
        <v>1</v>
      </c>
      <c r="D42" s="125">
        <v>1</v>
      </c>
    </row>
    <row r="43" spans="1:4" ht="30" customHeight="1">
      <c r="A43" s="126" t="s">
        <v>952</v>
      </c>
      <c r="B43" s="124">
        <v>1</v>
      </c>
      <c r="C43" s="124">
        <v>1</v>
      </c>
      <c r="D43" s="125">
        <v>1</v>
      </c>
    </row>
    <row r="44" spans="1:4">
      <c r="A44" s="127" t="s">
        <v>953</v>
      </c>
      <c r="B44" s="124">
        <v>1</v>
      </c>
      <c r="C44" s="124">
        <v>1</v>
      </c>
      <c r="D44" s="125">
        <v>1</v>
      </c>
    </row>
    <row r="45" spans="1:4" ht="29" customHeight="1">
      <c r="A45" s="126" t="s">
        <v>954</v>
      </c>
      <c r="B45" s="124">
        <v>1</v>
      </c>
      <c r="C45" s="124">
        <v>1</v>
      </c>
      <c r="D45" s="125">
        <v>1</v>
      </c>
    </row>
    <row r="46" spans="1:4">
      <c r="A46" s="30" t="s">
        <v>917</v>
      </c>
      <c r="B46" s="119">
        <v>25.04854368932039</v>
      </c>
      <c r="C46" s="119">
        <v>23.622641509433961</v>
      </c>
      <c r="D46" s="128">
        <v>23.725000000000001</v>
      </c>
    </row>
    <row r="47" spans="1:4">
      <c r="A47" s="42" t="s">
        <v>918</v>
      </c>
      <c r="B47" s="120">
        <v>0.69579288025889974</v>
      </c>
      <c r="C47" s="120">
        <v>0.65618448637316562</v>
      </c>
      <c r="D47" s="129">
        <v>0.65902777777777777</v>
      </c>
    </row>
    <row r="48" spans="1:4">
      <c r="B48" s="121"/>
      <c r="C48" s="121"/>
      <c r="D48" s="121"/>
    </row>
  </sheetData>
  <mergeCells count="2">
    <mergeCell ref="B1:D1"/>
    <mergeCell ref="A1:A2"/>
  </mergeCells>
  <conditionalFormatting sqref="B3:D45">
    <cfRule type="iconSet" priority="10">
      <iconSet iconSet="5Arrows">
        <cfvo type="percent" val="0"/>
        <cfvo type="percent" val="20"/>
        <cfvo type="percent" val="40"/>
        <cfvo type="percent" val="60"/>
        <cfvo type="percent" val="80"/>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MasterData</vt:lpstr>
      <vt:lpstr>MasterScale</vt:lpstr>
      <vt:lpstr>Summary MasterScale</vt:lpstr>
      <vt:lpstr>MasterScale!_Ref442627122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2021-06-24T08:46:05Z</dcterms:created>
  <dcterms:modified xsi:type="dcterms:W3CDTF">2022-10-12T16:35:19Z</dcterms:modified>
</cp:coreProperties>
</file>