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gul365-my.sharepoint.com/personal/jwestaby_sgul_ac_uk/Documents/Papers/Normal heart/CV path/"/>
    </mc:Choice>
  </mc:AlternateContent>
  <xr:revisionPtr revIDLastSave="24" documentId="8_{375D3E1B-D55E-4B08-A1BE-AEE8B6EF35CA}" xr6:coauthVersionLast="47" xr6:coauthVersionMax="47" xr10:uidLastSave="{0BCDFCDA-41F4-479D-BCE1-2DB84799E5F5}"/>
  <bookViews>
    <workbookView xWindow="4800" yWindow="1050" windowWidth="21525" windowHeight="15105" xr2:uid="{60FFE34D-9769-4C47-A9C7-CE1465F825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B13" i="1"/>
  <c r="D37" i="1"/>
  <c r="D33" i="1" l="1"/>
  <c r="B33" i="1"/>
  <c r="D32" i="1"/>
  <c r="B32" i="1"/>
  <c r="D31" i="1"/>
  <c r="B31" i="1"/>
  <c r="D29" i="1"/>
  <c r="C29" i="1"/>
  <c r="D30" i="1"/>
  <c r="C30" i="1"/>
  <c r="B30" i="1"/>
  <c r="D28" i="1"/>
  <c r="C28" i="1"/>
  <c r="B29" i="1"/>
  <c r="B28" i="1"/>
  <c r="D27" i="1"/>
  <c r="C27" i="1"/>
  <c r="B27" i="1"/>
  <c r="D26" i="1"/>
  <c r="B26" i="1"/>
  <c r="D24" i="1"/>
  <c r="B24" i="1"/>
  <c r="D23" i="1"/>
  <c r="B23" i="1"/>
  <c r="D22" i="1"/>
  <c r="B22" i="1"/>
  <c r="D21" i="1"/>
  <c r="B21" i="1"/>
  <c r="D20" i="1"/>
  <c r="C20" i="1"/>
  <c r="B20" i="1"/>
  <c r="D19" i="1"/>
  <c r="C19" i="1"/>
  <c r="B19" i="1"/>
  <c r="D18" i="1"/>
  <c r="C18" i="1"/>
  <c r="B18" i="1"/>
  <c r="D17" i="1"/>
  <c r="B17" i="1"/>
  <c r="C17" i="1"/>
  <c r="D16" i="1"/>
  <c r="B16" i="1"/>
  <c r="B14" i="1"/>
  <c r="D11" i="1"/>
  <c r="B11" i="1"/>
  <c r="D10" i="1"/>
  <c r="B10" i="1"/>
  <c r="D9" i="1"/>
  <c r="B9" i="1"/>
  <c r="D8" i="1"/>
  <c r="B8" i="1"/>
  <c r="D35" i="1"/>
  <c r="C35" i="1"/>
  <c r="B35" i="1"/>
  <c r="D36" i="1"/>
  <c r="C36" i="1"/>
  <c r="B36" i="1"/>
  <c r="C37" i="1"/>
  <c r="D38" i="1"/>
  <c r="B37" i="1"/>
  <c r="C38" i="1"/>
  <c r="B38" i="1"/>
  <c r="D39" i="1"/>
  <c r="C39" i="1"/>
  <c r="B39" i="1"/>
  <c r="D6" i="1"/>
  <c r="B6" i="1"/>
</calcChain>
</file>

<file path=xl/sharedStrings.xml><?xml version="1.0" encoding="utf-8"?>
<sst xmlns="http://schemas.openxmlformats.org/spreadsheetml/2006/main" count="62" uniqueCount="40">
  <si>
    <t>Age</t>
  </si>
  <si>
    <t>Body height</t>
  </si>
  <si>
    <t>Body weight</t>
  </si>
  <si>
    <t>Parameter</t>
  </si>
  <si>
    <t>Expected</t>
  </si>
  <si>
    <t>Upper limit</t>
  </si>
  <si>
    <t>Lower limit</t>
  </si>
  <si>
    <t>Heart weight</t>
  </si>
  <si>
    <t>Atria</t>
  </si>
  <si>
    <t>Right atrium 1</t>
  </si>
  <si>
    <t>Right atrium 2</t>
  </si>
  <si>
    <t>Left atrium 1</t>
  </si>
  <si>
    <t>Left atrium 2</t>
  </si>
  <si>
    <t>Fossa</t>
  </si>
  <si>
    <t>Width</t>
  </si>
  <si>
    <t>Fossa Height</t>
  </si>
  <si>
    <t>Right ventricle</t>
  </si>
  <si>
    <t>Diameter</t>
  </si>
  <si>
    <t>Anterior muscle</t>
  </si>
  <si>
    <t>Lateral muscle</t>
  </si>
  <si>
    <t>Posterior muscle</t>
  </si>
  <si>
    <t>RVOT muscle</t>
  </si>
  <si>
    <t>Anterior fat</t>
  </si>
  <si>
    <t>Lateral fat</t>
  </si>
  <si>
    <t>Posterior fat</t>
  </si>
  <si>
    <t>RVOT fat</t>
  </si>
  <si>
    <t>Left ventricle</t>
  </si>
  <si>
    <t>Septal muscle</t>
  </si>
  <si>
    <t>Valves &amp; aortic circumference</t>
  </si>
  <si>
    <t>Tricuspid valve</t>
  </si>
  <si>
    <t>Pulmonary valve</t>
  </si>
  <si>
    <t>Mitral valve</t>
  </si>
  <si>
    <t xml:space="preserve">Aortic valve </t>
  </si>
  <si>
    <t>Ascending aorta</t>
  </si>
  <si>
    <t>In kilograms</t>
  </si>
  <si>
    <t>In years</t>
  </si>
  <si>
    <t>In centimetres</t>
  </si>
  <si>
    <t>Male=0, Female=1</t>
  </si>
  <si>
    <t>-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</si>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</sst>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1" fillId="0" borderId="0" xfId="0" applyFont="1"/>
    <xf numFmtId="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E842B-630E-45C7-8BBE-696E6802189E}">
  <dimension ref="A1:E39"/>
  <sheetViews>
    <sheetView tabSelected="1" workbookViewId="0">
      <selection activeCell="C1" sqref="C1"/>
    </sheetView>
  </sheetViews>
  <sheetFormatPr defaultRowHeight="15" x14ac:dyDescent="0.25"/>
  <cols>
    <col min="1" max="1" width="34.7109375" customWidth="1"/>
    <col min="2" max="2" width="10.28515625" customWidth="1"/>
    <col min="3" max="3" width="17" customWidth="1"/>
    <col min="4" max="4" width="12.7109375" customWidth="1"/>
    <col min="5" max="5" width="13.85546875" customWidth="1"/>
  </cols>
  <sheetData>
    <row r="1" spans="1:5" ht="15.75" thickBot="1" x14ac:dyDescent="0.3">
      <c r="B1" t="s">
        <v>0</v>
      </c>
      <c r="C1" t="s">
        <v>39</v>
      </c>
      <c r="D1" t="s">
        <v>2</v>
      </c>
      <c r="E1" t="s">
        <v>1</v>
      </c>
    </row>
    <row r="2" spans="1:5" ht="15.75" thickBot="1" x14ac:dyDescent="0.3">
      <c r="B2" s="3"/>
      <c r="C2" s="1"/>
      <c r="D2" s="3"/>
      <c r="E2" s="2"/>
    </row>
    <row r="3" spans="1:5" x14ac:dyDescent="0.25">
      <c r="B3" t="s">
        <v>35</v>
      </c>
      <c r="C3" t="s">
        <v>37</v>
      </c>
      <c r="D3" t="s">
        <v>34</v>
      </c>
      <c r="E3" t="s">
        <v>36</v>
      </c>
    </row>
    <row r="5" spans="1:5" x14ac:dyDescent="0.25">
      <c r="A5" s="4" t="s">
        <v>3</v>
      </c>
      <c r="B5" t="s">
        <v>4</v>
      </c>
      <c r="C5" t="s">
        <v>6</v>
      </c>
      <c r="D5" t="s">
        <v>5</v>
      </c>
    </row>
    <row r="6" spans="1:5" x14ac:dyDescent="0.25">
      <c r="A6" t="s">
        <v>7</v>
      </c>
      <c r="B6" s="5">
        <f>56.682-(68.276*C2)+133.053*(SQRT(D2*E2/3600))+B2*1.442</f>
        <v>56.682000000000002</v>
      </c>
      <c r="C6" s="5" t="s">
        <v>38</v>
      </c>
      <c r="D6" s="5">
        <f>86.392-(61.382*C2)+146.876*(SQRT(D2*E2/3600))+B2*1.717</f>
        <v>86.391999999999996</v>
      </c>
    </row>
    <row r="7" spans="1:5" ht="30" customHeight="1" x14ac:dyDescent="0.25">
      <c r="A7" s="4" t="s">
        <v>8</v>
      </c>
    </row>
    <row r="8" spans="1:5" x14ac:dyDescent="0.25">
      <c r="A8" t="s">
        <v>9</v>
      </c>
      <c r="B8" s="5">
        <f>30.873-3.078*C2+21.051*(SQRT(D2*E2/3600))+0.068*B2-0.21*D2</f>
        <v>30.873000000000001</v>
      </c>
      <c r="C8" s="5" t="s">
        <v>38</v>
      </c>
      <c r="D8" s="5">
        <f>46.112-1.295*C2+36.676*(SQRT(D2*E2/3600))+0.134*B2-0.001*D2</f>
        <v>46.112000000000002</v>
      </c>
    </row>
    <row r="9" spans="1:5" x14ac:dyDescent="0.25">
      <c r="A9" t="s">
        <v>10</v>
      </c>
      <c r="B9" s="5">
        <f>12.305+0.108*B2+14.601*(E2/100)</f>
        <v>12.305</v>
      </c>
      <c r="C9" s="5" t="s">
        <v>38</v>
      </c>
      <c r="D9" s="5">
        <f>23.71+0.16*B2+12.305*(E2/100)</f>
        <v>23.71</v>
      </c>
    </row>
    <row r="10" spans="1:5" x14ac:dyDescent="0.25">
      <c r="A10" t="s">
        <v>11</v>
      </c>
      <c r="B10" s="5">
        <f>15.897+21.087*(SQRT(D2*E2/3600))+0.086*B2-0.223*D2</f>
        <v>15.897</v>
      </c>
      <c r="C10" s="5" t="s">
        <v>38</v>
      </c>
      <c r="D10" s="5">
        <f>25.821+31.627*(SQRT(D2*E2/3600))+0.135*B2-0.078*D2</f>
        <v>25.821000000000002</v>
      </c>
    </row>
    <row r="11" spans="1:5" x14ac:dyDescent="0.25">
      <c r="A11" t="s">
        <v>12</v>
      </c>
      <c r="B11" s="5">
        <f>12.458+0.115*B2+11.677*(E2/100)</f>
        <v>12.458</v>
      </c>
      <c r="C11" s="5" t="s">
        <v>38</v>
      </c>
      <c r="D11" s="5">
        <f>22.176+0.159*B2+17.111*(E2/100)</f>
        <v>22.175999999999998</v>
      </c>
    </row>
    <row r="12" spans="1:5" ht="30.75" customHeight="1" x14ac:dyDescent="0.25">
      <c r="A12" s="4" t="s">
        <v>13</v>
      </c>
    </row>
    <row r="13" spans="1:5" x14ac:dyDescent="0.25">
      <c r="A13" t="s">
        <v>14</v>
      </c>
      <c r="B13" s="6">
        <f>2.307+0.072*B2+6.098*(E2/100)</f>
        <v>2.3069999999999999</v>
      </c>
      <c r="C13" s="5" t="s">
        <v>38</v>
      </c>
      <c r="D13" s="6">
        <f>8.019+0.097*B2+9.29*(E2/100)</f>
        <v>8.0190000000000001</v>
      </c>
    </row>
    <row r="14" spans="1:5" x14ac:dyDescent="0.25">
      <c r="A14" t="s">
        <v>15</v>
      </c>
      <c r="B14" s="6">
        <f>2.089+0.072*B2+5.384*(E2/100)</f>
        <v>2.089</v>
      </c>
      <c r="C14" s="5" t="s">
        <v>38</v>
      </c>
      <c r="D14" s="6">
        <f>7.646+0.097*B2+8.49*(E2/100)</f>
        <v>7.6459999999999999</v>
      </c>
    </row>
    <row r="15" spans="1:5" ht="30" customHeight="1" x14ac:dyDescent="0.25">
      <c r="A15" s="4" t="s">
        <v>16</v>
      </c>
    </row>
    <row r="16" spans="1:5" x14ac:dyDescent="0.25">
      <c r="A16" t="s">
        <v>17</v>
      </c>
      <c r="B16" s="5">
        <f>22.832-1.483*C2+3.387*(SQRT(D2*E2/3600))</f>
        <v>22.832000000000001</v>
      </c>
      <c r="C16" s="5" t="s">
        <v>38</v>
      </c>
      <c r="D16" s="5">
        <f>26.297-0.636*C2+5.086*(SQRT(D2*E2/3600))</f>
        <v>26.297000000000001</v>
      </c>
    </row>
    <row r="17" spans="1:4" x14ac:dyDescent="0.25">
      <c r="A17" t="s">
        <v>18</v>
      </c>
      <c r="B17" s="6">
        <f>2.377-0.348*C2+0.005*D2</f>
        <v>2.3769999999999998</v>
      </c>
      <c r="C17" s="6">
        <f>2.06-0.481*C2+0.009*D2</f>
        <v>2.06</v>
      </c>
      <c r="D17" s="6">
        <f>2.694-0.214*C2+0.009*D2</f>
        <v>2.694</v>
      </c>
    </row>
    <row r="18" spans="1:4" x14ac:dyDescent="0.25">
      <c r="A18" t="s">
        <v>19</v>
      </c>
      <c r="B18" s="6" t="e">
        <f>2.221-0.359*C2+0.006*B2+0.018*(D2/((E2/100)^2))</f>
        <v>#DIV/0!</v>
      </c>
      <c r="C18" s="6" t="e">
        <f>1.858-0.49*C2+0*B2+0.006*(D2/((E2/100)^2))</f>
        <v>#DIV/0!</v>
      </c>
      <c r="D18" s="6" t="e">
        <f>2.585-0.228*C2+0.03*B2+0.03*(D2/((E2/100)^2))</f>
        <v>#DIV/0!</v>
      </c>
    </row>
    <row r="19" spans="1:4" x14ac:dyDescent="0.25">
      <c r="A19" t="s">
        <v>20</v>
      </c>
      <c r="B19" s="6" t="e">
        <f>3.234-0.401*C2+0.019*(D2/((E2/100)^2))</f>
        <v>#DIV/0!</v>
      </c>
      <c r="C19" s="6" t="e">
        <f>2.94-0.522*C2+0.008*(D2/((E2/100)^2))</f>
        <v>#DIV/0!</v>
      </c>
      <c r="D19" s="6" t="e">
        <f>3.527-0.281*C2+0.03*(D2/((E2/100)^2))</f>
        <v>#DIV/0!</v>
      </c>
    </row>
    <row r="20" spans="1:4" x14ac:dyDescent="0.25">
      <c r="A20" t="s">
        <v>21</v>
      </c>
      <c r="B20" s="6" t="e">
        <f>3.007-0.554*C2+0.015*(D2/((E2/100)^2))</f>
        <v>#DIV/0!</v>
      </c>
      <c r="C20" s="6" t="e">
        <f>2.667-0.693*C2+0.003*(D2/((E2/100)^2))</f>
        <v>#DIV/0!</v>
      </c>
      <c r="D20" s="6" t="e">
        <f>3.346-0.416*C2+0.028*(D2/((E2/100)^2))</f>
        <v>#DIV/0!</v>
      </c>
    </row>
    <row r="21" spans="1:4" x14ac:dyDescent="0.25">
      <c r="A21" t="s">
        <v>22</v>
      </c>
      <c r="B21" s="6" t="e">
        <f>-0.128+0.244*C2+0.025*B2+0.016*(D2/((E2/100)^2))</f>
        <v>#DIV/0!</v>
      </c>
      <c r="C21" s="5" t="s">
        <v>38</v>
      </c>
      <c r="D21" s="6" t="e">
        <f>-0.327+0.408*C2+0.032*B2+0.03*(D2/((E2/100)^2))</f>
        <v>#DIV/0!</v>
      </c>
    </row>
    <row r="22" spans="1:4" x14ac:dyDescent="0.25">
      <c r="A22" t="s">
        <v>23</v>
      </c>
      <c r="B22" s="6" t="e">
        <f>0.006+0.399*C2+0.052*B2+0.034*(D2/((E2/100)^2))</f>
        <v>#DIV/0!</v>
      </c>
      <c r="C22" s="5" t="s">
        <v>38</v>
      </c>
      <c r="D22" s="6" t="e">
        <f>0.758+0.67*C2+0.063*B2+0.058*(D2/((E2/100)^2))</f>
        <v>#DIV/0!</v>
      </c>
    </row>
    <row r="23" spans="1:4" x14ac:dyDescent="0.25">
      <c r="A23" t="s">
        <v>24</v>
      </c>
      <c r="B23" s="6">
        <f>0.126+0.075*C2</f>
        <v>0.126</v>
      </c>
      <c r="C23" s="5" t="s">
        <v>38</v>
      </c>
      <c r="D23" s="6">
        <f>0.168+0.149*C2</f>
        <v>0.16800000000000001</v>
      </c>
    </row>
    <row r="24" spans="1:4" x14ac:dyDescent="0.25">
      <c r="A24" t="s">
        <v>25</v>
      </c>
      <c r="B24" s="6" t="e">
        <f>-0.658+0.029*B2+0.02*(D2/((E2/100)^2))</f>
        <v>#DIV/0!</v>
      </c>
      <c r="C24" s="5" t="s">
        <v>38</v>
      </c>
      <c r="D24" s="6" t="e">
        <f>-0.202+0.036*B2+0.034*(D2/((E2/100)^2))</f>
        <v>#DIV/0!</v>
      </c>
    </row>
    <row r="25" spans="1:4" ht="30" customHeight="1" x14ac:dyDescent="0.25">
      <c r="A25" s="4" t="s">
        <v>26</v>
      </c>
    </row>
    <row r="26" spans="1:4" x14ac:dyDescent="0.25">
      <c r="A26" t="s">
        <v>17</v>
      </c>
      <c r="B26" s="5">
        <f>17.61+5.613*(SQRT(D2*E2/3600))+0.07*B2</f>
        <v>17.61</v>
      </c>
      <c r="C26" s="5" t="s">
        <v>38</v>
      </c>
      <c r="D26" s="5">
        <f>21.263+7.339*(SQRT(D2*E2/3600))+0.106*B2</f>
        <v>21.263000000000002</v>
      </c>
    </row>
    <row r="27" spans="1:4" x14ac:dyDescent="0.25">
      <c r="A27" t="s">
        <v>27</v>
      </c>
      <c r="B27" s="6" t="e">
        <f>11.78-1.65*C2+0.062*(D2/((E2/100)^2))</f>
        <v>#DIV/0!</v>
      </c>
      <c r="C27" s="6" t="e">
        <f>11.045-1.652*C2+0.035*(D2/((E2/100)^2))</f>
        <v>#DIV/0!</v>
      </c>
      <c r="D27" s="6" t="e">
        <f>12.514-1.348*C2+0.089*(D2/((E2/100)^2))</f>
        <v>#DIV/0!</v>
      </c>
    </row>
    <row r="28" spans="1:4" x14ac:dyDescent="0.25">
      <c r="A28" t="s">
        <v>18</v>
      </c>
      <c r="B28" s="6">
        <f>10.491-1.332*C2+0.953*(SQRT(D2*E2/3600))</f>
        <v>10.491</v>
      </c>
      <c r="C28" s="6">
        <f>9.346-1.612*C2+0.392*(SQRT(D2*E2/3600))</f>
        <v>9.3460000000000001</v>
      </c>
      <c r="D28" s="6">
        <f>11.635-1.052*C2+1.515*(SQRT(D2*E2/3600))</f>
        <v>11.635</v>
      </c>
    </row>
    <row r="29" spans="1:4" x14ac:dyDescent="0.25">
      <c r="A29" t="s">
        <v>19</v>
      </c>
      <c r="B29" s="6">
        <f>11.232-1.246*C2+0.751*(SQRT(D2*E2/3600))</f>
        <v>11.231999999999999</v>
      </c>
      <c r="C29" s="6">
        <f>10.043-1.537*C2+0.168*(SQRT(D2*E2/3600))</f>
        <v>10.042999999999999</v>
      </c>
      <c r="D29" s="6">
        <f>12.421-0.955*C2+1.334*(SQRT(D2*E2/3600))</f>
        <v>12.420999999999999</v>
      </c>
    </row>
    <row r="30" spans="1:4" x14ac:dyDescent="0.25">
      <c r="A30" t="s">
        <v>20</v>
      </c>
      <c r="B30" s="6">
        <f>10.561-1.105*C2+0.798*(SQRT(D2*E2/3600))</f>
        <v>10.561</v>
      </c>
      <c r="C30" s="6">
        <f>9.462-1.374*C2+0.259*(SQRT(D2*E2/3600))</f>
        <v>9.4619999999999997</v>
      </c>
      <c r="D30" s="6">
        <f>11.66-0.836*C2+1.337*(SQRT(D2*E2/3600))</f>
        <v>11.66</v>
      </c>
    </row>
    <row r="31" spans="1:4" x14ac:dyDescent="0.25">
      <c r="A31" t="s">
        <v>22</v>
      </c>
      <c r="B31" s="6">
        <f>0.289+0.2*C2+0.01*B2</f>
        <v>0.28899999999999998</v>
      </c>
      <c r="C31" s="5" t="s">
        <v>38</v>
      </c>
      <c r="D31" s="6">
        <f>0.538+0.362*C2+0.016*B2</f>
        <v>0.53800000000000003</v>
      </c>
    </row>
    <row r="32" spans="1:4" x14ac:dyDescent="0.25">
      <c r="A32" t="s">
        <v>23</v>
      </c>
      <c r="B32" s="6">
        <f>-0.873+0.136*C2+0.346*(SQRT(D2*E2/3600))+0.013*B2</f>
        <v>-0.873</v>
      </c>
      <c r="C32" s="5" t="s">
        <v>38</v>
      </c>
      <c r="D32" s="6">
        <f>-0.404+0.245*C2+0.565*(SQRT(D2*E2/3600))+0.017*B2</f>
        <v>-0.40400000000000003</v>
      </c>
    </row>
    <row r="33" spans="1:4" x14ac:dyDescent="0.25">
      <c r="A33" t="s">
        <v>24</v>
      </c>
      <c r="B33" s="6">
        <f>-0.384+0.108*C2+0.175*(SQRT(D2*E2/3600))+0.004*B2</f>
        <v>-0.38400000000000001</v>
      </c>
      <c r="C33" s="5" t="s">
        <v>38</v>
      </c>
      <c r="D33" s="6">
        <f>-0.045+0.187*C2+0.333*(SQRT(D2*E2/3600))+0.007*B2</f>
        <v>-4.4999999999999998E-2</v>
      </c>
    </row>
    <row r="34" spans="1:4" ht="30" customHeight="1" x14ac:dyDescent="0.25">
      <c r="A34" s="4" t="s">
        <v>28</v>
      </c>
    </row>
    <row r="35" spans="1:4" x14ac:dyDescent="0.25">
      <c r="A35" t="s">
        <v>29</v>
      </c>
      <c r="B35" s="5">
        <f>46.154-3.94*C2+0.162*B2+26.452*E2/100</f>
        <v>46.154000000000003</v>
      </c>
      <c r="C35" s="5">
        <f>27.672-5.882*C2+0.091*B2+16.239*E2/100</f>
        <v>27.672000000000001</v>
      </c>
      <c r="D35" s="5">
        <f>64.636-1.998*C2+0.233*B2+36.665*E2/100</f>
        <v>64.635999999999996</v>
      </c>
    </row>
    <row r="36" spans="1:4" x14ac:dyDescent="0.25">
      <c r="A36" t="s">
        <v>30</v>
      </c>
      <c r="B36" s="5">
        <f>16.167-2.447*C2+0.16*B2+19.105*E2/100</f>
        <v>16.167000000000002</v>
      </c>
      <c r="C36" s="5">
        <f>2.92-3.839*C2+0.109*B2+11.785*E2/100</f>
        <v>2.92</v>
      </c>
      <c r="D36" s="5">
        <f>29.413-1.055*C2+0.211*B2+26.425*E2/100</f>
        <v>29.413</v>
      </c>
    </row>
    <row r="37" spans="1:4" x14ac:dyDescent="0.25">
      <c r="A37" t="s">
        <v>31</v>
      </c>
      <c r="B37" s="5">
        <f>46.705-3.587*C2+24.463*(SQRT(D2*E2/3600))+0.127*B2-0.254*D2</f>
        <v>46.704999999999998</v>
      </c>
      <c r="C37" s="5">
        <f>30.792-5.448*C2+8.147*(SQRT(D2*E2/3600))+0.059*B2-0.472*D2</f>
        <v>30.792000000000002</v>
      </c>
      <c r="D37" s="5">
        <f>62.618-1.726*C2+40.779*(SQRT(D2*E2/3600))+0.195*B2-0.037*D2</f>
        <v>62.618000000000002</v>
      </c>
    </row>
    <row r="38" spans="1:4" x14ac:dyDescent="0.25">
      <c r="A38" t="s">
        <v>32</v>
      </c>
      <c r="B38" s="5">
        <f>28.392-2.982*C2+0.279*B2+8.673*E2/100</f>
        <v>28.391999999999999</v>
      </c>
      <c r="C38" s="5">
        <f>18.721-3.998*C2+0.242*B2+3.329*E2/100</f>
        <v>18.721</v>
      </c>
      <c r="D38" s="5">
        <f>38.063-1.966*C2+0.316*B2+14.018*E2/100</f>
        <v>38.063000000000002</v>
      </c>
    </row>
    <row r="39" spans="1:4" x14ac:dyDescent="0.25">
      <c r="A39" t="s">
        <v>33</v>
      </c>
      <c r="B39" s="5">
        <f>22.805-2.702*C2+0.343*B2+11.059*E2/100</f>
        <v>22.805</v>
      </c>
      <c r="C39" s="5">
        <f>13.39-3.691*C2+0.307*B2+5.856*E2/100</f>
        <v>13.39</v>
      </c>
      <c r="D39" s="5">
        <f>32.22-1.712*C2+0.379*B2+16.262*E2/100</f>
        <v>32.22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0DEB307B28ED4C8F5693BE4D1BFA9E" ma:contentTypeVersion="10" ma:contentTypeDescription="Create a new document." ma:contentTypeScope="" ma:versionID="58668cf92a5c3286777ea555f0e1f556">
  <xsd:schema xmlns:xsd="http://www.w3.org/2001/XMLSchema" xmlns:xs="http://www.w3.org/2001/XMLSchema" xmlns:p="http://schemas.microsoft.com/office/2006/metadata/properties" xmlns:ns3="8241c171-2063-48fd-93f6-e9605d74aabf" targetNamespace="http://schemas.microsoft.com/office/2006/metadata/properties" ma:root="true" ma:fieldsID="e781923be63e8af818b9d53626cefd02" ns3:_="">
    <xsd:import namespace="8241c171-2063-48fd-93f6-e9605d74aa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1c171-2063-48fd-93f6-e9605d74aa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10C261-AB15-4704-9DD3-4E5CEEE462E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241c171-2063-48fd-93f6-e9605d74aab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E1E350-9834-47AC-8861-251DB69E1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41c171-2063-48fd-93f6-e9605d74aa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64C19E-E5F2-4751-9E95-35BFF19D59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Westaby</dc:creator>
  <cp:lastModifiedBy>Joe Westaby</cp:lastModifiedBy>
  <dcterms:created xsi:type="dcterms:W3CDTF">2022-04-07T16:15:24Z</dcterms:created>
  <dcterms:modified xsi:type="dcterms:W3CDTF">2022-11-15T08:40:19Z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0x010100DE0DEB307B28ED4C8F5693BE4D1BFA9E</vt:lpwstr>
  </property>
</Properties>
</file>